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7148" windowHeight="13176" tabRatio="817"/>
  </bookViews>
  <sheets>
    <sheet name="1.评估价值估算" sheetId="19" r:id="rId1"/>
    <sheet name="2.可采储量及服务年限" sheetId="39" r:id="rId2"/>
    <sheet name="3.销售收入" sheetId="1" r:id="rId3"/>
    <sheet name="4.固定资产" sheetId="8" r:id="rId4"/>
    <sheet name="5.折旧" sheetId="7" r:id="rId5"/>
    <sheet name="6.单位成本表" sheetId="25" r:id="rId6"/>
    <sheet name="7.总成本费用" sheetId="2" r:id="rId7"/>
    <sheet name="8.税费" sheetId="14" r:id="rId8"/>
    <sheet name="Sheet1" sheetId="43" r:id="rId9"/>
    <sheet name="基础资料" sheetId="34" r:id="rId10"/>
    <sheet name="2011-2022价格" sheetId="37" state="hidden" r:id="rId11"/>
  </sheets>
  <externalReferences>
    <externalReference r:id="rId12"/>
  </externalReferences>
  <definedNames>
    <definedName name="OLE_LINK1" localSheetId="2">'3.销售收入'!#REF!</definedName>
    <definedName name="_xlnm.Print_Area" localSheetId="0">'1.评估价值估算'!$A$1:$AC$23</definedName>
    <definedName name="_xlnm.Print_Area" localSheetId="1">'2.可采储量及服务年限'!$A$1:$L$9</definedName>
    <definedName name="_xlnm.Print_Area" localSheetId="10">'2011-2022价格'!$A$1:$E$30</definedName>
    <definedName name="_xlnm.Print_Area" localSheetId="2">'3.销售收入'!$A$1:$AA$10</definedName>
    <definedName name="_xlnm.Print_Area" localSheetId="3">'4.固定资产'!$A$1:$H$15</definedName>
    <definedName name="_xlnm.Print_Area" localSheetId="4">'5.折旧'!$A$1:$AC$29</definedName>
    <definedName name="_xlnm.Print_Area" localSheetId="5">'6.单位成本表'!$A$1:$G$20</definedName>
    <definedName name="_xlnm.Print_Area" localSheetId="6">'7.总成本费用'!$A$1:$Y$17</definedName>
    <definedName name="_xlnm.Print_Area" localSheetId="7">'8.税费'!$A$1:$Z$19</definedName>
    <definedName name="_xlnm.Print_Titles" localSheetId="0">'1.评估价值估算'!$A:$B</definedName>
    <definedName name="_xlnm.Print_Titles" localSheetId="2">'3.销售收入'!$A:$C</definedName>
    <definedName name="_xlnm.Print_Titles" localSheetId="4">'5.折旧'!$A:$C</definedName>
    <definedName name="_xlnm.Print_Titles" localSheetId="5">'6.单位成本表'!$A:$B,'6.单位成本表'!$3:$3</definedName>
    <definedName name="_xlnm.Print_Titles" localSheetId="6">'7.总成本费用'!$A:$B</definedName>
    <definedName name="_xlnm.Print_Titles" localSheetId="7">'8.税费'!$A:$C</definedName>
    <definedName name="UFPrn20050319192414">#REF!</definedName>
    <definedName name="UFPrn20050319193131">#REF!</definedName>
    <definedName name="Z_8E5D1841_3DF3_11D4_8DC3_B5DE7A219F7B_.wvu.PrintArea" localSheetId="5" hidden="1">'6.单位成本表'!$A$2:$F$21</definedName>
    <definedName name="Z_8E5D1841_3DF3_11D4_8DC3_B5DE7A219F7B_.wvu.PrintTitles" localSheetId="5" hidden="1">'6.单位成本表'!$A:$B,'6.单位成本表'!$3:$3</definedName>
    <definedName name="汇率">#REF!</definedName>
    <definedName name="矿石产量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[1]资产负债表!#REF!</definedName>
    <definedName name="生产期6">#REF!</definedName>
    <definedName name="生产期7">#REF!</definedName>
    <definedName name="生产期8">#REF!</definedName>
    <definedName name="生产期9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" i="14"/>
  <c r="D2"/>
  <c r="A2" i="25"/>
  <c r="W6" i="19"/>
  <c r="T16" i="14"/>
  <c r="C34" i="19"/>
  <c r="I13" i="14"/>
  <c r="I9"/>
  <c r="H20" i="7"/>
  <c r="H14"/>
  <c r="D30"/>
  <c r="G7" i="8" l="1"/>
  <c r="G6"/>
  <c r="F7" i="25" l="1"/>
  <c r="E8" i="1"/>
  <c r="F14" i="19"/>
  <c r="E14"/>
  <c r="F8" i="25"/>
  <c r="E6" i="1"/>
  <c r="E6" i="19"/>
  <c r="F6" s="1"/>
  <c r="G6" s="1"/>
  <c r="E8" i="8"/>
  <c r="G8" s="1"/>
  <c r="E13" l="1"/>
  <c r="B12" i="2" l="1"/>
  <c r="B11"/>
  <c r="B9"/>
  <c r="B10"/>
  <c r="B7"/>
  <c r="E19" i="25" l="1"/>
  <c r="E18"/>
  <c r="D6"/>
  <c r="D7"/>
  <c r="D8"/>
  <c r="D9"/>
  <c r="D12"/>
  <c r="D13"/>
  <c r="D14"/>
  <c r="D15"/>
  <c r="D16"/>
  <c r="D17"/>
  <c r="D18"/>
  <c r="D19"/>
  <c r="E8"/>
  <c r="B8" i="2" s="1"/>
  <c r="E12" i="25"/>
  <c r="E14"/>
  <c r="B13" i="2" s="1"/>
  <c r="E15" i="25"/>
  <c r="B14" i="2" s="1"/>
  <c r="E16" i="25"/>
  <c r="E17"/>
  <c r="E6"/>
  <c r="F5"/>
  <c r="P2" i="1"/>
  <c r="D2"/>
  <c r="Q2" i="7"/>
  <c r="D2"/>
  <c r="C26" i="8"/>
  <c r="C28"/>
  <c r="F17" i="2"/>
  <c r="F3"/>
  <c r="N2"/>
  <c r="C2"/>
  <c r="P2" i="19"/>
  <c r="C2"/>
  <c r="F8" i="1"/>
  <c r="G23" i="19"/>
  <c r="U23" s="1"/>
  <c r="G3"/>
  <c r="T3"/>
  <c r="F6" i="1"/>
  <c r="E7"/>
  <c r="E9" s="1"/>
  <c r="G10"/>
  <c r="A2" i="39"/>
  <c r="E3"/>
  <c r="E9"/>
  <c r="L9"/>
  <c r="E7"/>
  <c r="H7" s="1"/>
  <c r="E6"/>
  <c r="H6" s="1"/>
  <c r="E5"/>
  <c r="C8"/>
  <c r="C32" i="19" s="1"/>
  <c r="G58"/>
  <c r="C13" i="8" l="1"/>
  <c r="G6" i="1"/>
  <c r="F7"/>
  <c r="F9" s="1"/>
  <c r="E8" i="39"/>
  <c r="D11" i="7"/>
  <c r="G8" i="1"/>
  <c r="D12" i="7" l="1"/>
  <c r="H6" i="1"/>
  <c r="G7"/>
  <c r="G9" s="1"/>
  <c r="H8" i="39"/>
  <c r="H8" i="1"/>
  <c r="C14" i="19"/>
  <c r="K8" i="39" l="1"/>
  <c r="L8" s="1"/>
  <c r="D13" i="7"/>
  <c r="I6" i="1"/>
  <c r="H7"/>
  <c r="H9" s="1"/>
  <c r="I8"/>
  <c r="M8" i="39" l="1"/>
  <c r="E11" i="7"/>
  <c r="F13" i="25"/>
  <c r="J6" i="1"/>
  <c r="I7"/>
  <c r="I9" s="1"/>
  <c r="J8"/>
  <c r="G14" i="7" l="1"/>
  <c r="G15" s="1"/>
  <c r="H15" s="1"/>
  <c r="K6" i="1"/>
  <c r="J7"/>
  <c r="J9" s="1"/>
  <c r="K8"/>
  <c r="I14" i="7" l="1"/>
  <c r="J14" s="1"/>
  <c r="K14" s="1"/>
  <c r="L14" s="1"/>
  <c r="M14" s="1"/>
  <c r="L6" i="1"/>
  <c r="K7"/>
  <c r="K9" s="1"/>
  <c r="L8"/>
  <c r="I15" i="7" l="1"/>
  <c r="J15" s="1"/>
  <c r="M6" i="1"/>
  <c r="L7"/>
  <c r="L9" s="1"/>
  <c r="M8"/>
  <c r="N14" i="7"/>
  <c r="F56" i="19"/>
  <c r="D6" i="2"/>
  <c r="D7" s="1"/>
  <c r="N6" i="1" l="1"/>
  <c r="M7"/>
  <c r="M9" s="1"/>
  <c r="N8"/>
  <c r="D8" i="2"/>
  <c r="D13"/>
  <c r="D11"/>
  <c r="D12"/>
  <c r="K15" i="7"/>
  <c r="O14"/>
  <c r="O6" i="1" l="1"/>
  <c r="N7"/>
  <c r="N9" s="1"/>
  <c r="O8"/>
  <c r="P14" i="7"/>
  <c r="L15"/>
  <c r="A2" i="8"/>
  <c r="H4" i="7"/>
  <c r="I4"/>
  <c r="J4"/>
  <c r="K4"/>
  <c r="L4"/>
  <c r="M4"/>
  <c r="N4"/>
  <c r="O4"/>
  <c r="P4"/>
  <c r="Q4"/>
  <c r="R4"/>
  <c r="S4"/>
  <c r="T4"/>
  <c r="U4"/>
  <c r="V4"/>
  <c r="W4"/>
  <c r="G4"/>
  <c r="G5" i="8"/>
  <c r="P6" i="1" l="1"/>
  <c r="O7"/>
  <c r="O9" s="1"/>
  <c r="P8"/>
  <c r="M15" i="7"/>
  <c r="Q14"/>
  <c r="E6" i="2"/>
  <c r="Q6" i="1" l="1"/>
  <c r="P7"/>
  <c r="P9" s="1"/>
  <c r="Q8"/>
  <c r="E13" i="2"/>
  <c r="E7"/>
  <c r="E8"/>
  <c r="E11"/>
  <c r="E12"/>
  <c r="R14" i="7"/>
  <c r="N15"/>
  <c r="D17"/>
  <c r="G13" i="8"/>
  <c r="F6" i="2"/>
  <c r="D23" i="7"/>
  <c r="E13" i="19" l="1"/>
  <c r="E12" s="1"/>
  <c r="F13"/>
  <c r="F12" s="1"/>
  <c r="R6" i="1"/>
  <c r="Q7"/>
  <c r="Q9" s="1"/>
  <c r="R8"/>
  <c r="F13" i="2"/>
  <c r="F7"/>
  <c r="F8"/>
  <c r="F11"/>
  <c r="F12"/>
  <c r="O15" i="7"/>
  <c r="D24"/>
  <c r="R24" s="1"/>
  <c r="O11" i="14" s="1"/>
  <c r="R23" i="7"/>
  <c r="R15" i="19" s="1"/>
  <c r="C15" s="1"/>
  <c r="S14" i="7"/>
  <c r="D18"/>
  <c r="G6" i="2"/>
  <c r="D19" i="7" l="1"/>
  <c r="I20" s="1"/>
  <c r="D11" i="14"/>
  <c r="S6" i="1"/>
  <c r="R7"/>
  <c r="R9" s="1"/>
  <c r="D25" i="7"/>
  <c r="G16" i="19" s="1"/>
  <c r="S8" i="1"/>
  <c r="G7" i="2"/>
  <c r="G12"/>
  <c r="G8"/>
  <c r="G13"/>
  <c r="G11"/>
  <c r="T14" i="7"/>
  <c r="R25"/>
  <c r="P15"/>
  <c r="I6" i="2"/>
  <c r="H6"/>
  <c r="C13" i="19"/>
  <c r="F10" i="25" l="1"/>
  <c r="E10" i="2" s="1"/>
  <c r="F10" i="14" s="1"/>
  <c r="D5" i="7"/>
  <c r="W10" i="19"/>
  <c r="T6" i="1"/>
  <c r="U14" s="1"/>
  <c r="S7"/>
  <c r="S9" s="1"/>
  <c r="R28" i="7"/>
  <c r="R9" i="19" s="1"/>
  <c r="H26" i="7"/>
  <c r="G26" s="1"/>
  <c r="G27" s="1"/>
  <c r="F57" i="19"/>
  <c r="T8" i="1"/>
  <c r="H11" i="2"/>
  <c r="H13"/>
  <c r="H7"/>
  <c r="H12"/>
  <c r="H8"/>
  <c r="I12"/>
  <c r="I13"/>
  <c r="I8"/>
  <c r="I7"/>
  <c r="I11"/>
  <c r="U14" i="7"/>
  <c r="Q15"/>
  <c r="G20"/>
  <c r="J6" i="2"/>
  <c r="U4" i="1"/>
  <c r="T4" i="14" s="1"/>
  <c r="F4" i="1"/>
  <c r="E4" i="14" s="1"/>
  <c r="G4" i="1"/>
  <c r="F4" i="14" s="1"/>
  <c r="H4" i="1"/>
  <c r="G4" i="14" s="1"/>
  <c r="I4" i="1"/>
  <c r="H4" i="14" s="1"/>
  <c r="J4" i="1"/>
  <c r="I4" i="14" s="1"/>
  <c r="K4" i="1"/>
  <c r="J4" i="14" s="1"/>
  <c r="L4" i="1"/>
  <c r="K4" i="14" s="1"/>
  <c r="M4" i="1"/>
  <c r="L4" i="14" s="1"/>
  <c r="N4" i="1"/>
  <c r="M4" i="14" s="1"/>
  <c r="O4" i="1"/>
  <c r="N4" i="14" s="1"/>
  <c r="P4" i="1"/>
  <c r="O4" i="14" s="1"/>
  <c r="Q4" i="1"/>
  <c r="P4" i="14" s="1"/>
  <c r="R4" i="1"/>
  <c r="Q4" i="14" s="1"/>
  <c r="S4" i="1"/>
  <c r="R4" i="14" s="1"/>
  <c r="T4" i="1"/>
  <c r="S4" i="14" s="1"/>
  <c r="E4" i="1"/>
  <c r="A3"/>
  <c r="A10"/>
  <c r="H10" i="2" l="1"/>
  <c r="I10" i="14" s="1"/>
  <c r="G10" i="2"/>
  <c r="H10" i="14" s="1"/>
  <c r="F10" i="2"/>
  <c r="G10" i="14" s="1"/>
  <c r="I10" i="2"/>
  <c r="J10" i="14" s="1"/>
  <c r="D10" i="2"/>
  <c r="E10" i="14" s="1"/>
  <c r="I26" i="7"/>
  <c r="J26" s="1"/>
  <c r="K26" s="1"/>
  <c r="L26" s="1"/>
  <c r="M26" s="1"/>
  <c r="N26" s="1"/>
  <c r="H6"/>
  <c r="H9" s="1"/>
  <c r="F9" i="25" s="1"/>
  <c r="F9" i="2" s="1"/>
  <c r="R8" i="7"/>
  <c r="T7" i="1"/>
  <c r="T9" s="1"/>
  <c r="F17" i="25"/>
  <c r="U8" i="1"/>
  <c r="J11" i="2"/>
  <c r="J8"/>
  <c r="J12"/>
  <c r="J13"/>
  <c r="J7"/>
  <c r="J10"/>
  <c r="R15" i="7"/>
  <c r="G6"/>
  <c r="G9" s="1"/>
  <c r="G21"/>
  <c r="V14"/>
  <c r="H5" i="39"/>
  <c r="A3"/>
  <c r="A9"/>
  <c r="I6" i="7" l="1"/>
  <c r="I9" s="1"/>
  <c r="D9" i="2"/>
  <c r="J9"/>
  <c r="I9"/>
  <c r="H9"/>
  <c r="E9"/>
  <c r="G9"/>
  <c r="K10" i="14"/>
  <c r="U7" i="1"/>
  <c r="U9" s="1"/>
  <c r="I14" i="2"/>
  <c r="G14"/>
  <c r="H14"/>
  <c r="E14"/>
  <c r="F18" i="25"/>
  <c r="F19" s="1"/>
  <c r="F14" i="2"/>
  <c r="F15" s="1"/>
  <c r="F16" s="1"/>
  <c r="J14"/>
  <c r="D14"/>
  <c r="H21" i="7"/>
  <c r="G7"/>
  <c r="S15"/>
  <c r="I15" i="2" l="1"/>
  <c r="I16" s="1"/>
  <c r="H15"/>
  <c r="H16" s="1"/>
  <c r="D15"/>
  <c r="D16" s="1"/>
  <c r="J15"/>
  <c r="J16" s="1"/>
  <c r="E15"/>
  <c r="E16" s="1"/>
  <c r="G15"/>
  <c r="G16" s="1"/>
  <c r="T15" i="7"/>
  <c r="U15" l="1"/>
  <c r="V15" l="1"/>
  <c r="W14" s="1"/>
  <c r="W15" l="1"/>
  <c r="B28" i="37"/>
  <c r="B27"/>
  <c r="B26"/>
  <c r="D22"/>
  <c r="D23"/>
  <c r="D24"/>
  <c r="D25"/>
  <c r="D13"/>
  <c r="D14"/>
  <c r="D15"/>
  <c r="D16"/>
  <c r="D17"/>
  <c r="D18"/>
  <c r="D19"/>
  <c r="D20"/>
  <c r="D21"/>
  <c r="D4"/>
  <c r="D5"/>
  <c r="D6"/>
  <c r="D7"/>
  <c r="D8"/>
  <c r="D9"/>
  <c r="D10"/>
  <c r="D11"/>
  <c r="D12"/>
  <c r="D3"/>
  <c r="D7" i="1" l="1"/>
  <c r="D28" i="37"/>
  <c r="D27"/>
  <c r="D26"/>
  <c r="Z19" i="14" l="1"/>
  <c r="A20" i="25"/>
  <c r="G20"/>
  <c r="D20"/>
  <c r="D3"/>
  <c r="G3" i="1"/>
  <c r="S3" s="1"/>
  <c r="A29" i="7" l="1"/>
  <c r="O19" i="14"/>
  <c r="G19"/>
  <c r="S19" s="1"/>
  <c r="G3"/>
  <c r="S3" s="1"/>
  <c r="A19"/>
  <c r="H3" i="7" l="1"/>
  <c r="U3" s="1"/>
  <c r="H29"/>
  <c r="U29" s="1"/>
  <c r="E3" i="8" l="1"/>
  <c r="H15"/>
  <c r="E15"/>
  <c r="A15"/>
  <c r="H4" i="2"/>
  <c r="F4"/>
  <c r="D4" i="14"/>
  <c r="G4" i="2" l="1"/>
  <c r="D4"/>
  <c r="C4"/>
  <c r="D16" i="7" l="1"/>
  <c r="A23" i="19"/>
  <c r="O23"/>
  <c r="AC23" s="1"/>
  <c r="A3"/>
  <c r="C7" i="34"/>
  <c r="Q3" i="2" l="1"/>
  <c r="D20" i="19"/>
  <c r="D22" s="1"/>
  <c r="AA3" i="1"/>
  <c r="Q17" i="2"/>
  <c r="Y17"/>
  <c r="Y3"/>
  <c r="AC29" i="7"/>
  <c r="AC3"/>
  <c r="S10" i="1"/>
  <c r="AA10"/>
  <c r="O3" i="19"/>
  <c r="T4" i="2"/>
  <c r="K4"/>
  <c r="L4"/>
  <c r="O4"/>
  <c r="D33" i="7"/>
  <c r="A17" i="2"/>
  <c r="A3" i="7"/>
  <c r="A3" i="25" s="1"/>
  <c r="A3" i="8"/>
  <c r="A3" i="14"/>
  <c r="A3" i="2"/>
  <c r="E21" i="19"/>
  <c r="M3" i="2" l="1"/>
  <c r="M17"/>
  <c r="P3" i="7"/>
  <c r="P29"/>
  <c r="O10" i="1"/>
  <c r="Z3" i="14"/>
  <c r="I4" i="2"/>
  <c r="S4"/>
  <c r="N4"/>
  <c r="E4"/>
  <c r="O3" i="1"/>
  <c r="P4" i="2"/>
  <c r="R4"/>
  <c r="Q4"/>
  <c r="M4"/>
  <c r="J4"/>
  <c r="O3" i="14" l="1"/>
  <c r="O26" i="7"/>
  <c r="P26" s="1"/>
  <c r="Q26" s="1"/>
  <c r="R26" s="1"/>
  <c r="S26" s="1"/>
  <c r="T26" s="1"/>
  <c r="U26" s="1"/>
  <c r="V26" s="1"/>
  <c r="W26" s="1"/>
  <c r="F21" i="19" l="1"/>
  <c r="J20" i="7" l="1"/>
  <c r="J6" s="1"/>
  <c r="J9" s="1"/>
  <c r="K20"/>
  <c r="K6" s="1"/>
  <c r="K9" s="1"/>
  <c r="H6" i="19"/>
  <c r="G21"/>
  <c r="K6" i="2" l="1"/>
  <c r="L20" i="7"/>
  <c r="L6" s="1"/>
  <c r="L9" s="1"/>
  <c r="I6" i="19"/>
  <c r="H21"/>
  <c r="K10" i="2" l="1"/>
  <c r="K11"/>
  <c r="K8"/>
  <c r="K12"/>
  <c r="K14"/>
  <c r="K13"/>
  <c r="K7"/>
  <c r="K9"/>
  <c r="L6"/>
  <c r="M20" i="7"/>
  <c r="M6" s="1"/>
  <c r="M9" s="1"/>
  <c r="J6" i="19"/>
  <c r="I21"/>
  <c r="L10" i="14" l="1"/>
  <c r="K15" i="2"/>
  <c r="K16" s="1"/>
  <c r="L7"/>
  <c r="L10"/>
  <c r="L11"/>
  <c r="L8"/>
  <c r="L12"/>
  <c r="L14"/>
  <c r="L13"/>
  <c r="L9"/>
  <c r="M6"/>
  <c r="N20" i="7"/>
  <c r="N6" s="1"/>
  <c r="N9" s="1"/>
  <c r="I21"/>
  <c r="K6" i="19"/>
  <c r="J21"/>
  <c r="M10" i="14" l="1"/>
  <c r="M13" i="2"/>
  <c r="M10"/>
  <c r="M11"/>
  <c r="M8"/>
  <c r="M7"/>
  <c r="M12"/>
  <c r="M14"/>
  <c r="M9"/>
  <c r="L15"/>
  <c r="L16" s="1"/>
  <c r="N6"/>
  <c r="O20" i="7"/>
  <c r="O6" s="1"/>
  <c r="O9" s="1"/>
  <c r="J21"/>
  <c r="K21" i="19"/>
  <c r="L6"/>
  <c r="N10" i="14" l="1"/>
  <c r="M15" i="2"/>
  <c r="M16" s="1"/>
  <c r="N7"/>
  <c r="N10"/>
  <c r="N14"/>
  <c r="N11"/>
  <c r="N8"/>
  <c r="N12"/>
  <c r="N13"/>
  <c r="N9"/>
  <c r="O6"/>
  <c r="K21" i="7"/>
  <c r="P20"/>
  <c r="P6" s="1"/>
  <c r="P9" s="1"/>
  <c r="M6" i="19"/>
  <c r="L21"/>
  <c r="O10" i="14" l="1"/>
  <c r="N15" i="2"/>
  <c r="N16" s="1"/>
  <c r="O14"/>
  <c r="O13"/>
  <c r="O7"/>
  <c r="O10"/>
  <c r="O12"/>
  <c r="O11"/>
  <c r="O8"/>
  <c r="O9"/>
  <c r="P6"/>
  <c r="Q20" i="7"/>
  <c r="Q6" s="1"/>
  <c r="Q9" s="1"/>
  <c r="L21"/>
  <c r="M21" i="19"/>
  <c r="N6"/>
  <c r="P10" i="14" l="1"/>
  <c r="O15" i="2"/>
  <c r="O16" s="1"/>
  <c r="P14"/>
  <c r="P13"/>
  <c r="P7"/>
  <c r="P8"/>
  <c r="P11"/>
  <c r="P12"/>
  <c r="P10"/>
  <c r="P9"/>
  <c r="Q6"/>
  <c r="M21" i="7"/>
  <c r="R20"/>
  <c r="R6" s="1"/>
  <c r="R9" s="1"/>
  <c r="O6" i="19"/>
  <c r="N21"/>
  <c r="Q10" i="14" l="1"/>
  <c r="P15" i="2"/>
  <c r="P16" s="1"/>
  <c r="Q12"/>
  <c r="Q11"/>
  <c r="Q14"/>
  <c r="Q13"/>
  <c r="Q7"/>
  <c r="Q10"/>
  <c r="Q8"/>
  <c r="Q9"/>
  <c r="R6"/>
  <c r="S20" i="7"/>
  <c r="S6" s="1"/>
  <c r="S9" s="1"/>
  <c r="N21"/>
  <c r="O21" i="19"/>
  <c r="P6"/>
  <c r="R10" i="14" l="1"/>
  <c r="R11" i="2"/>
  <c r="R8"/>
  <c r="R12"/>
  <c r="R14"/>
  <c r="R13"/>
  <c r="R7"/>
  <c r="R10"/>
  <c r="R9"/>
  <c r="Q15"/>
  <c r="Q16" s="1"/>
  <c r="S6"/>
  <c r="O21" i="7"/>
  <c r="T20"/>
  <c r="T6" s="1"/>
  <c r="T9" s="1"/>
  <c r="Q6" i="19"/>
  <c r="P21"/>
  <c r="S10" i="14" l="1"/>
  <c r="S10" i="2"/>
  <c r="S11"/>
  <c r="S8"/>
  <c r="S12"/>
  <c r="S14"/>
  <c r="S13"/>
  <c r="S7"/>
  <c r="S9"/>
  <c r="R15"/>
  <c r="R16" s="1"/>
  <c r="T6"/>
  <c r="U20" i="7"/>
  <c r="U6" s="1"/>
  <c r="U9" s="1"/>
  <c r="P21"/>
  <c r="R6" i="19"/>
  <c r="Q21"/>
  <c r="T10" i="14" l="1"/>
  <c r="S15" i="2"/>
  <c r="S16" s="1"/>
  <c r="T10"/>
  <c r="T11"/>
  <c r="T8"/>
  <c r="T12"/>
  <c r="T7"/>
  <c r="T14"/>
  <c r="T13"/>
  <c r="T9"/>
  <c r="Q21" i="7"/>
  <c r="V20"/>
  <c r="S6" i="19"/>
  <c r="R21"/>
  <c r="V6" i="7" l="1"/>
  <c r="V9" s="1"/>
  <c r="W20"/>
  <c r="T15" i="2"/>
  <c r="T16" s="1"/>
  <c r="R21" i="7"/>
  <c r="S21" i="19"/>
  <c r="T6"/>
  <c r="W6" i="7" l="1"/>
  <c r="W9" s="1"/>
  <c r="S21"/>
  <c r="T21" i="19"/>
  <c r="U6"/>
  <c r="T21" i="7" l="1"/>
  <c r="V6" i="19"/>
  <c r="X25" s="1"/>
  <c r="U21"/>
  <c r="U21" i="7" l="1"/>
  <c r="V21" i="19"/>
  <c r="E6" i="14" l="1"/>
  <c r="E9" s="1"/>
  <c r="H8" i="19"/>
  <c r="V21" i="7"/>
  <c r="W21" i="19"/>
  <c r="E16" i="14" l="1"/>
  <c r="F6"/>
  <c r="F9" s="1"/>
  <c r="F8" s="1"/>
  <c r="F13" s="1"/>
  <c r="I8" i="19"/>
  <c r="W21" i="7"/>
  <c r="F16" i="14" l="1"/>
  <c r="G6"/>
  <c r="G9" s="1"/>
  <c r="J8" i="19"/>
  <c r="G16" i="14" l="1"/>
  <c r="H6"/>
  <c r="H9" s="1"/>
  <c r="K8" i="19"/>
  <c r="E7"/>
  <c r="E20" s="1"/>
  <c r="E22" s="1"/>
  <c r="H16" i="14" l="1"/>
  <c r="I6"/>
  <c r="I16" s="1"/>
  <c r="L8" i="19"/>
  <c r="D6" i="1"/>
  <c r="D13" s="1"/>
  <c r="I8" i="14" l="1"/>
  <c r="J6"/>
  <c r="J9" s="1"/>
  <c r="M8" i="19"/>
  <c r="F7"/>
  <c r="J16" i="14" l="1"/>
  <c r="K6"/>
  <c r="K16" s="1"/>
  <c r="N8" i="19"/>
  <c r="J7"/>
  <c r="J8" i="14"/>
  <c r="D9" i="1" l="1"/>
  <c r="K9" i="14"/>
  <c r="K8" s="1"/>
  <c r="L6"/>
  <c r="L9" s="1"/>
  <c r="O8" i="19"/>
  <c r="H8" i="14"/>
  <c r="I14"/>
  <c r="J13"/>
  <c r="J14"/>
  <c r="J15"/>
  <c r="K7" i="19"/>
  <c r="L16" i="14" l="1"/>
  <c r="M6"/>
  <c r="M16" s="1"/>
  <c r="P8" i="19"/>
  <c r="H13" i="14"/>
  <c r="H14"/>
  <c r="H15"/>
  <c r="I15"/>
  <c r="J12"/>
  <c r="M18" i="19" s="1"/>
  <c r="K15" i="14"/>
  <c r="K13"/>
  <c r="K14"/>
  <c r="L7" i="19"/>
  <c r="L8" i="14"/>
  <c r="D22" i="7" l="1"/>
  <c r="M9" i="14"/>
  <c r="M8" s="1"/>
  <c r="N6"/>
  <c r="N9" s="1"/>
  <c r="N8" s="1"/>
  <c r="Q8" i="19"/>
  <c r="H12" i="14"/>
  <c r="K18" i="19" s="1"/>
  <c r="I12" i="14"/>
  <c r="L18" i="19" s="1"/>
  <c r="L15" i="14"/>
  <c r="L13"/>
  <c r="L14"/>
  <c r="M7" i="19"/>
  <c r="K12" i="14"/>
  <c r="N18" i="19" s="1"/>
  <c r="N16" i="14" l="1"/>
  <c r="O6"/>
  <c r="O16" s="1"/>
  <c r="R8" i="19"/>
  <c r="F20"/>
  <c r="F22" s="1"/>
  <c r="L12" i="14"/>
  <c r="O18" i="19" s="1"/>
  <c r="N7"/>
  <c r="M15" i="14"/>
  <c r="M13"/>
  <c r="M14"/>
  <c r="O9" l="1"/>
  <c r="P6"/>
  <c r="P9" s="1"/>
  <c r="S8" i="19"/>
  <c r="M12" i="14"/>
  <c r="P18" i="19" s="1"/>
  <c r="O7"/>
  <c r="N14" i="14"/>
  <c r="N15"/>
  <c r="N13"/>
  <c r="O8" l="1"/>
  <c r="O15" s="1"/>
  <c r="R11" i="19"/>
  <c r="P16" i="14"/>
  <c r="Q6"/>
  <c r="T8" i="19"/>
  <c r="N12" i="14"/>
  <c r="Q18" i="19" s="1"/>
  <c r="P7"/>
  <c r="Q9" i="14" l="1"/>
  <c r="Q8" s="1"/>
  <c r="Q16"/>
  <c r="O14"/>
  <c r="O13"/>
  <c r="P8"/>
  <c r="P13" s="1"/>
  <c r="R6"/>
  <c r="R16" s="1"/>
  <c r="U8" i="19"/>
  <c r="Q7"/>
  <c r="O12" i="14" l="1"/>
  <c r="R18" i="19" s="1"/>
  <c r="P15" i="14"/>
  <c r="P14"/>
  <c r="R9"/>
  <c r="R8" s="1"/>
  <c r="S6"/>
  <c r="V8" i="19"/>
  <c r="R7"/>
  <c r="Q15" i="14"/>
  <c r="Q13"/>
  <c r="Q14"/>
  <c r="S9" l="1"/>
  <c r="S8" s="1"/>
  <c r="S16"/>
  <c r="P12"/>
  <c r="S18" i="19" s="1"/>
  <c r="T6" i="14"/>
  <c r="W8" i="19"/>
  <c r="Q12" i="14"/>
  <c r="T18" i="19" s="1"/>
  <c r="R13" i="14"/>
  <c r="R14"/>
  <c r="R15"/>
  <c r="S7" i="19"/>
  <c r="T9" i="14" l="1"/>
  <c r="T8" s="1"/>
  <c r="R12"/>
  <c r="U18" i="19" s="1"/>
  <c r="T7"/>
  <c r="S14" i="14"/>
  <c r="S15"/>
  <c r="S13"/>
  <c r="T15" l="1"/>
  <c r="T13"/>
  <c r="T14"/>
  <c r="U7" i="19"/>
  <c r="S12" i="14"/>
  <c r="V18" i="19" s="1"/>
  <c r="V7" l="1"/>
  <c r="T12" i="14"/>
  <c r="W18" i="19" s="1"/>
  <c r="C6" i="2" l="1"/>
  <c r="C11" l="1"/>
  <c r="C12"/>
  <c r="C14"/>
  <c r="C10"/>
  <c r="C13"/>
  <c r="C7"/>
  <c r="C8"/>
  <c r="C9"/>
  <c r="D6" i="14"/>
  <c r="G8" i="19"/>
  <c r="H27" i="7"/>
  <c r="H7" s="1"/>
  <c r="D10" i="14" l="1"/>
  <c r="C15" i="2"/>
  <c r="C16" s="1"/>
  <c r="C8" i="19"/>
  <c r="D16" i="14"/>
  <c r="D9"/>
  <c r="I27" i="7"/>
  <c r="I7" s="1"/>
  <c r="I7" i="19" l="1"/>
  <c r="G8" i="14"/>
  <c r="J27" i="7"/>
  <c r="J7" s="1"/>
  <c r="E8" i="14" l="1"/>
  <c r="E13" s="1"/>
  <c r="F15"/>
  <c r="F14"/>
  <c r="G13"/>
  <c r="G15"/>
  <c r="G14"/>
  <c r="D8"/>
  <c r="D13" s="1"/>
  <c r="K27" i="7"/>
  <c r="K7" s="1"/>
  <c r="G11" i="19"/>
  <c r="G7" s="1"/>
  <c r="F12" i="14" l="1"/>
  <c r="I18" i="19" s="1"/>
  <c r="D14" i="14"/>
  <c r="D15"/>
  <c r="G12"/>
  <c r="J18" i="19" s="1"/>
  <c r="L27" i="7"/>
  <c r="L7" s="1"/>
  <c r="H7" i="19"/>
  <c r="D12" i="14" l="1"/>
  <c r="G18" i="19" s="1"/>
  <c r="E15" i="14"/>
  <c r="E14"/>
  <c r="M27" i="7"/>
  <c r="M7" s="1"/>
  <c r="C11" i="19"/>
  <c r="E12" i="14" l="1"/>
  <c r="N27" i="7"/>
  <c r="N7" s="1"/>
  <c r="H18" i="19" l="1"/>
  <c r="O27" i="7"/>
  <c r="O7" s="1"/>
  <c r="C18" i="19" l="1"/>
  <c r="P27" i="7"/>
  <c r="P7" s="1"/>
  <c r="Q27" l="1"/>
  <c r="R27" l="1"/>
  <c r="Q7"/>
  <c r="S27" l="1"/>
  <c r="R7"/>
  <c r="C16" i="19"/>
  <c r="T27" i="7" l="1"/>
  <c r="S7"/>
  <c r="C10" i="19"/>
  <c r="U27" i="7" l="1"/>
  <c r="T7"/>
  <c r="F58" i="19"/>
  <c r="T17"/>
  <c r="Q7" i="14"/>
  <c r="Q17" s="1"/>
  <c r="Q18" s="1"/>
  <c r="T19" i="19" s="1"/>
  <c r="K17"/>
  <c r="H7" i="14"/>
  <c r="H17" s="1"/>
  <c r="H18" s="1"/>
  <c r="K19" i="19" s="1"/>
  <c r="L7" i="14"/>
  <c r="L17" s="1"/>
  <c r="L18" s="1"/>
  <c r="O19" i="19" s="1"/>
  <c r="O17"/>
  <c r="J7" i="14"/>
  <c r="J17" s="1"/>
  <c r="J18" s="1"/>
  <c r="M19" i="19" s="1"/>
  <c r="M17"/>
  <c r="E7" i="14"/>
  <c r="E17" s="1"/>
  <c r="E18" s="1"/>
  <c r="H19" i="19" s="1"/>
  <c r="H17"/>
  <c r="V17"/>
  <c r="S7" i="14"/>
  <c r="S17" s="1"/>
  <c r="S18" s="1"/>
  <c r="V19" i="19" s="1"/>
  <c r="L17"/>
  <c r="I7" i="14"/>
  <c r="I17" s="1"/>
  <c r="I18" s="1"/>
  <c r="L19" i="19" s="1"/>
  <c r="I17"/>
  <c r="F7" i="14"/>
  <c r="F17" s="1"/>
  <c r="F18" s="1"/>
  <c r="I19" i="19" s="1"/>
  <c r="R17"/>
  <c r="O7" i="14"/>
  <c r="O17" s="1"/>
  <c r="O18" s="1"/>
  <c r="R19" i="19" s="1"/>
  <c r="G7" i="14"/>
  <c r="G17" s="1"/>
  <c r="G18" s="1"/>
  <c r="J19" i="19" s="1"/>
  <c r="J17"/>
  <c r="T7" i="14"/>
  <c r="T17" s="1"/>
  <c r="T18" s="1"/>
  <c r="W19" i="19" s="1"/>
  <c r="W17"/>
  <c r="R7" i="14"/>
  <c r="R17" s="1"/>
  <c r="R18" s="1"/>
  <c r="U19" i="19" s="1"/>
  <c r="U17"/>
  <c r="Q17"/>
  <c r="N7" i="14"/>
  <c r="N17" s="1"/>
  <c r="N18" s="1"/>
  <c r="Q19" i="19" s="1"/>
  <c r="N17"/>
  <c r="K7" i="14"/>
  <c r="K17" s="1"/>
  <c r="K18" s="1"/>
  <c r="N19" i="19" s="1"/>
  <c r="S17"/>
  <c r="P7" i="14"/>
  <c r="P17" s="1"/>
  <c r="P18" s="1"/>
  <c r="S19" i="19" s="1"/>
  <c r="P17"/>
  <c r="M7" i="14"/>
  <c r="M17" s="1"/>
  <c r="M18" s="1"/>
  <c r="P19" i="19" s="1"/>
  <c r="G17"/>
  <c r="D7" i="14"/>
  <c r="D17" s="1"/>
  <c r="D18" s="1"/>
  <c r="G19" i="19" s="1"/>
  <c r="V27" i="7" l="1"/>
  <c r="U7"/>
  <c r="H12" i="19"/>
  <c r="H20" s="1"/>
  <c r="H22" s="1"/>
  <c r="U12"/>
  <c r="U20" s="1"/>
  <c r="U22" s="1"/>
  <c r="O12"/>
  <c r="O20" s="1"/>
  <c r="O22" s="1"/>
  <c r="J12"/>
  <c r="J20" s="1"/>
  <c r="J22" s="1"/>
  <c r="M12"/>
  <c r="M20" s="1"/>
  <c r="M22" s="1"/>
  <c r="S12"/>
  <c r="S20" s="1"/>
  <c r="S22" s="1"/>
  <c r="R12"/>
  <c r="R20" s="1"/>
  <c r="R22" s="1"/>
  <c r="G12"/>
  <c r="G20" s="1"/>
  <c r="N12"/>
  <c r="N20" s="1"/>
  <c r="N22" s="1"/>
  <c r="W12"/>
  <c r="I12"/>
  <c r="I20" s="1"/>
  <c r="I22" s="1"/>
  <c r="L12"/>
  <c r="L20" s="1"/>
  <c r="L22" s="1"/>
  <c r="P12"/>
  <c r="P20" s="1"/>
  <c r="P22" s="1"/>
  <c r="V12"/>
  <c r="V20" s="1"/>
  <c r="V22" s="1"/>
  <c r="K12"/>
  <c r="K20" s="1"/>
  <c r="K22" s="1"/>
  <c r="Q12"/>
  <c r="Q20" s="1"/>
  <c r="Q22" s="1"/>
  <c r="T12"/>
  <c r="T20" s="1"/>
  <c r="T22" s="1"/>
  <c r="W27" i="7" l="1"/>
  <c r="V7"/>
  <c r="C19" i="19"/>
  <c r="C17"/>
  <c r="W7" i="7" l="1"/>
  <c r="W9" i="19" s="1"/>
  <c r="W7" s="1"/>
  <c r="W20" s="1"/>
  <c r="W22" s="1"/>
  <c r="G22"/>
  <c r="C12"/>
  <c r="D28" i="7" l="1"/>
  <c r="D8" l="1"/>
  <c r="C9" i="19" l="1"/>
  <c r="C7" l="1"/>
  <c r="C22" l="1"/>
  <c r="C35" s="1"/>
  <c r="C36" s="1"/>
  <c r="C20"/>
  <c r="C37" l="1"/>
  <c r="B39"/>
</calcChain>
</file>

<file path=xl/sharedStrings.xml><?xml version="1.0" encoding="utf-8"?>
<sst xmlns="http://schemas.openxmlformats.org/spreadsheetml/2006/main" count="267" uniqueCount="226">
  <si>
    <t>房屋建筑物</t>
    <phoneticPr fontId="2" type="noConversion"/>
  </si>
  <si>
    <t>附表七</t>
    <phoneticPr fontId="2" type="noConversion"/>
  </si>
  <si>
    <t>销售收入流动资金率20-25%，24%</t>
    <phoneticPr fontId="2" type="noConversion"/>
  </si>
  <si>
    <t>附表四</t>
    <phoneticPr fontId="2" type="noConversion"/>
  </si>
  <si>
    <t>附表八</t>
    <phoneticPr fontId="2" type="noConversion"/>
  </si>
  <si>
    <t>1</t>
    <phoneticPr fontId="2" type="noConversion"/>
  </si>
  <si>
    <t>2</t>
    <phoneticPr fontId="2" type="noConversion"/>
  </si>
  <si>
    <t>附表五</t>
    <phoneticPr fontId="2" type="noConversion"/>
  </si>
  <si>
    <t>序号</t>
    <phoneticPr fontId="2" type="noConversion"/>
  </si>
  <si>
    <t>项    目</t>
    <phoneticPr fontId="2" type="noConversion"/>
  </si>
  <si>
    <t>序
号</t>
    <phoneticPr fontId="2" type="noConversion"/>
  </si>
  <si>
    <t>评估取值</t>
    <phoneticPr fontId="2" type="noConversion"/>
  </si>
  <si>
    <t>生产规模（万吨/年）</t>
    <phoneticPr fontId="2" type="noConversion"/>
  </si>
  <si>
    <t>修理费</t>
    <phoneticPr fontId="2" type="noConversion"/>
  </si>
  <si>
    <t>折旧费</t>
    <phoneticPr fontId="2" type="noConversion"/>
  </si>
  <si>
    <t>摊销费</t>
    <phoneticPr fontId="2" type="noConversion"/>
  </si>
  <si>
    <t>财务费用</t>
    <phoneticPr fontId="2" type="noConversion"/>
  </si>
  <si>
    <t>经营成本</t>
    <phoneticPr fontId="2" type="noConversion"/>
  </si>
  <si>
    <t>总成本费用</t>
    <phoneticPr fontId="2" type="noConversion"/>
  </si>
  <si>
    <r>
      <rPr>
        <sz val="10"/>
        <color indexed="8"/>
        <rFont val="宋体"/>
        <family val="3"/>
        <charset val="134"/>
      </rPr>
      <t>序号</t>
    </r>
  </si>
  <si>
    <r>
      <rPr>
        <sz val="10"/>
        <rFont val="宋体"/>
        <family val="3"/>
        <charset val="134"/>
      </rPr>
      <t>项目名称</t>
    </r>
    <phoneticPr fontId="2" type="noConversion"/>
  </si>
  <si>
    <r>
      <rPr>
        <sz val="10"/>
        <color indexed="8"/>
        <rFont val="宋体"/>
        <family val="3"/>
        <charset val="134"/>
      </rPr>
      <t>合计</t>
    </r>
  </si>
  <si>
    <r>
      <rPr>
        <sz val="10"/>
        <color indexed="8"/>
        <rFont val="宋体"/>
        <family val="3"/>
        <charset val="134"/>
      </rPr>
      <t>基建期</t>
    </r>
    <phoneticPr fontId="2" type="noConversion"/>
  </si>
  <si>
    <r>
      <rPr>
        <sz val="10"/>
        <color indexed="8"/>
        <rFont val="宋体"/>
        <family val="3"/>
        <charset val="134"/>
      </rPr>
      <t>一</t>
    </r>
  </si>
  <si>
    <r>
      <rPr>
        <sz val="10"/>
        <color indexed="8"/>
        <rFont val="宋体"/>
        <family val="3"/>
        <charset val="134"/>
      </rPr>
      <t>销售收入</t>
    </r>
  </si>
  <si>
    <r>
      <rPr>
        <sz val="10"/>
        <color indexed="8"/>
        <rFont val="宋体"/>
        <family val="3"/>
        <charset val="134"/>
      </rPr>
      <t>回收流动资金</t>
    </r>
  </si>
  <si>
    <r>
      <rPr>
        <sz val="10"/>
        <color indexed="8"/>
        <rFont val="宋体"/>
        <family val="3"/>
        <charset val="134"/>
      </rPr>
      <t>回收抵扣设备进项增值税</t>
    </r>
    <phoneticPr fontId="2" type="noConversion"/>
  </si>
  <si>
    <r>
      <rPr>
        <sz val="10"/>
        <color indexed="8"/>
        <rFont val="宋体"/>
        <family val="3"/>
        <charset val="134"/>
      </rPr>
      <t>二</t>
    </r>
  </si>
  <si>
    <r>
      <rPr>
        <sz val="10"/>
        <color indexed="8"/>
        <rFont val="宋体"/>
        <family val="3"/>
        <charset val="134"/>
      </rPr>
      <t>更新改造资金</t>
    </r>
  </si>
  <si>
    <r>
      <rPr>
        <sz val="10"/>
        <color indexed="8"/>
        <rFont val="宋体"/>
        <family val="3"/>
        <charset val="134"/>
      </rPr>
      <t>流动资金</t>
    </r>
  </si>
  <si>
    <r>
      <rPr>
        <sz val="10"/>
        <color indexed="8"/>
        <rFont val="宋体"/>
        <family val="3"/>
        <charset val="134"/>
      </rPr>
      <t>经营成本</t>
    </r>
  </si>
  <si>
    <r>
      <rPr>
        <sz val="10"/>
        <color indexed="8"/>
        <rFont val="宋体"/>
        <family val="3"/>
        <charset val="134"/>
      </rPr>
      <t>销售税金及附加</t>
    </r>
  </si>
  <si>
    <r>
      <rPr>
        <sz val="10"/>
        <color indexed="8"/>
        <rFont val="宋体"/>
        <family val="3"/>
        <charset val="134"/>
      </rPr>
      <t>企业所得税</t>
    </r>
  </si>
  <si>
    <r>
      <rPr>
        <sz val="10"/>
        <color indexed="8"/>
        <rFont val="宋体"/>
        <family val="3"/>
        <charset val="134"/>
      </rPr>
      <t>三</t>
    </r>
  </si>
  <si>
    <r>
      <rPr>
        <sz val="10"/>
        <color indexed="8"/>
        <rFont val="宋体"/>
        <family val="3"/>
        <charset val="134"/>
      </rPr>
      <t>净现金流量</t>
    </r>
  </si>
  <si>
    <r>
      <rPr>
        <sz val="10"/>
        <color indexed="8"/>
        <rFont val="宋体"/>
        <family val="3"/>
        <charset val="134"/>
      </rPr>
      <t>四</t>
    </r>
  </si>
  <si>
    <r>
      <rPr>
        <sz val="10"/>
        <color indexed="8"/>
        <rFont val="宋体"/>
        <family val="3"/>
        <charset val="134"/>
      </rPr>
      <t>五</t>
    </r>
  </si>
  <si>
    <r>
      <rPr>
        <sz val="10"/>
        <color indexed="8"/>
        <rFont val="宋体"/>
        <family val="3"/>
        <charset val="134"/>
      </rPr>
      <t>固定资产投资</t>
    </r>
    <phoneticPr fontId="2" type="noConversion"/>
  </si>
  <si>
    <r>
      <rPr>
        <sz val="10"/>
        <rFont val="宋体"/>
        <family val="3"/>
        <charset val="134"/>
      </rPr>
      <t>出让收益评估价值</t>
    </r>
    <phoneticPr fontId="2" type="noConversion"/>
  </si>
  <si>
    <r>
      <t>2025</t>
    </r>
    <r>
      <rPr>
        <sz val="10"/>
        <color indexed="8"/>
        <rFont val="宋体"/>
        <family val="3"/>
        <charset val="134"/>
      </rPr>
      <t>年</t>
    </r>
    <phoneticPr fontId="2" type="noConversion"/>
  </si>
  <si>
    <t>采矿权名称</t>
    <phoneticPr fontId="29" type="noConversion"/>
  </si>
  <si>
    <t>评估委托人</t>
    <phoneticPr fontId="29" type="noConversion"/>
  </si>
  <si>
    <t>评估基准日</t>
    <phoneticPr fontId="29" type="noConversion"/>
  </si>
  <si>
    <t>评估机构</t>
    <phoneticPr fontId="29" type="noConversion"/>
  </si>
  <si>
    <t>评估机构：北京中煤思维咨询有限公司</t>
    <phoneticPr fontId="29" type="noConversion"/>
  </si>
  <si>
    <t>审核</t>
    <phoneticPr fontId="29" type="noConversion"/>
  </si>
  <si>
    <t>审核：左和军</t>
    <phoneticPr fontId="29" type="noConversion"/>
  </si>
  <si>
    <t>制表</t>
    <phoneticPr fontId="29" type="noConversion"/>
  </si>
  <si>
    <r>
      <rPr>
        <sz val="10"/>
        <color indexed="8"/>
        <rFont val="宋体"/>
        <family val="3"/>
        <charset val="134"/>
      </rPr>
      <t>评估
基准日</t>
    </r>
    <phoneticPr fontId="2" type="noConversion"/>
  </si>
  <si>
    <r>
      <rPr>
        <sz val="10"/>
        <rFont val="宋体"/>
        <family val="3"/>
        <charset val="134"/>
      </rPr>
      <t>生</t>
    </r>
    <r>
      <rPr>
        <sz val="10"/>
        <rFont val="Arial Narrow"/>
        <family val="2"/>
      </rPr>
      <t xml:space="preserve">        </t>
    </r>
    <r>
      <rPr>
        <sz val="10"/>
        <rFont val="宋体"/>
        <family val="3"/>
        <charset val="134"/>
      </rPr>
      <t>产</t>
    </r>
    <r>
      <rPr>
        <sz val="10"/>
        <rFont val="Arial Narrow"/>
        <family val="2"/>
      </rPr>
      <t xml:space="preserve">        </t>
    </r>
    <r>
      <rPr>
        <sz val="10"/>
        <rFont val="宋体"/>
        <family val="3"/>
        <charset val="134"/>
      </rPr>
      <t>期</t>
    </r>
    <phoneticPr fontId="2" type="noConversion"/>
  </si>
  <si>
    <r>
      <t>2026</t>
    </r>
    <r>
      <rPr>
        <sz val="10"/>
        <color indexed="8"/>
        <rFont val="Times New Roman"/>
        <family val="1"/>
      </rPr>
      <t>年</t>
    </r>
    <r>
      <rPr>
        <sz val="10"/>
        <color indexed="8"/>
        <rFont val="宋体"/>
        <family val="3"/>
        <charset val="134"/>
      </rPr>
      <t/>
    </r>
  </si>
  <si>
    <r>
      <t>2027</t>
    </r>
    <r>
      <rPr>
        <sz val="10"/>
        <color indexed="8"/>
        <rFont val="Times New Roman"/>
        <family val="1"/>
      </rPr>
      <t>年</t>
    </r>
    <r>
      <rPr>
        <sz val="10"/>
        <color indexed="8"/>
        <rFont val="宋体"/>
        <family val="3"/>
        <charset val="134"/>
      </rPr>
      <t/>
    </r>
  </si>
  <si>
    <r>
      <t>2028</t>
    </r>
    <r>
      <rPr>
        <sz val="10"/>
        <color indexed="8"/>
        <rFont val="Times New Roman"/>
        <family val="1"/>
      </rPr>
      <t>年</t>
    </r>
    <r>
      <rPr>
        <sz val="10"/>
        <color indexed="8"/>
        <rFont val="宋体"/>
        <family val="3"/>
        <charset val="134"/>
      </rPr>
      <t/>
    </r>
  </si>
  <si>
    <r>
      <t>2029</t>
    </r>
    <r>
      <rPr>
        <sz val="10"/>
        <color indexed="8"/>
        <rFont val="Times New Roman"/>
        <family val="1"/>
      </rPr>
      <t>年</t>
    </r>
    <r>
      <rPr>
        <sz val="10"/>
        <color indexed="8"/>
        <rFont val="宋体"/>
        <family val="3"/>
        <charset val="134"/>
      </rPr>
      <t/>
    </r>
  </si>
  <si>
    <r>
      <t>2030</t>
    </r>
    <r>
      <rPr>
        <sz val="10"/>
        <color indexed="8"/>
        <rFont val="Times New Roman"/>
        <family val="1"/>
      </rPr>
      <t>年</t>
    </r>
    <r>
      <rPr>
        <sz val="10"/>
        <color indexed="8"/>
        <rFont val="宋体"/>
        <family val="3"/>
        <charset val="134"/>
      </rPr>
      <t/>
    </r>
  </si>
  <si>
    <r>
      <t>2031</t>
    </r>
    <r>
      <rPr>
        <sz val="10"/>
        <color indexed="8"/>
        <rFont val="Times New Roman"/>
        <family val="1"/>
      </rPr>
      <t>年</t>
    </r>
    <r>
      <rPr>
        <sz val="10"/>
        <color indexed="8"/>
        <rFont val="宋体"/>
        <family val="3"/>
        <charset val="134"/>
      </rPr>
      <t/>
    </r>
  </si>
  <si>
    <r>
      <t>2032</t>
    </r>
    <r>
      <rPr>
        <sz val="10"/>
        <color indexed="8"/>
        <rFont val="Times New Roman"/>
        <family val="1"/>
      </rPr>
      <t>年</t>
    </r>
    <r>
      <rPr>
        <sz val="10"/>
        <color indexed="8"/>
        <rFont val="宋体"/>
        <family val="3"/>
        <charset val="134"/>
      </rPr>
      <t/>
    </r>
  </si>
  <si>
    <r>
      <t>2033</t>
    </r>
    <r>
      <rPr>
        <sz val="10"/>
        <color indexed="8"/>
        <rFont val="Times New Roman"/>
        <family val="1"/>
      </rPr>
      <t>年</t>
    </r>
    <r>
      <rPr>
        <sz val="10"/>
        <color indexed="8"/>
        <rFont val="宋体"/>
        <family val="3"/>
        <charset val="134"/>
      </rPr>
      <t/>
    </r>
  </si>
  <si>
    <r>
      <t>2034</t>
    </r>
    <r>
      <rPr>
        <sz val="10"/>
        <color indexed="8"/>
        <rFont val="Times New Roman"/>
        <family val="1"/>
      </rPr>
      <t>年</t>
    </r>
    <r>
      <rPr>
        <sz val="10"/>
        <color indexed="8"/>
        <rFont val="宋体"/>
        <family val="3"/>
        <charset val="134"/>
      </rPr>
      <t/>
    </r>
  </si>
  <si>
    <r>
      <t>2035</t>
    </r>
    <r>
      <rPr>
        <sz val="10"/>
        <color indexed="8"/>
        <rFont val="Times New Roman"/>
        <family val="1"/>
      </rPr>
      <t>年</t>
    </r>
    <r>
      <rPr>
        <sz val="10"/>
        <color indexed="8"/>
        <rFont val="宋体"/>
        <family val="3"/>
        <charset val="134"/>
      </rPr>
      <t/>
    </r>
  </si>
  <si>
    <r>
      <t>2036</t>
    </r>
    <r>
      <rPr>
        <sz val="10"/>
        <color indexed="8"/>
        <rFont val="Times New Roman"/>
        <family val="1"/>
      </rPr>
      <t>年</t>
    </r>
    <r>
      <rPr>
        <sz val="10"/>
        <color indexed="8"/>
        <rFont val="宋体"/>
        <family val="3"/>
        <charset val="134"/>
      </rPr>
      <t/>
    </r>
  </si>
  <si>
    <r>
      <t>2037</t>
    </r>
    <r>
      <rPr>
        <sz val="10"/>
        <color indexed="8"/>
        <rFont val="Times New Roman"/>
        <family val="1"/>
      </rPr>
      <t>年</t>
    </r>
    <r>
      <rPr>
        <sz val="10"/>
        <color indexed="8"/>
        <rFont val="宋体"/>
        <family val="3"/>
        <charset val="134"/>
      </rPr>
      <t/>
    </r>
  </si>
  <si>
    <r>
      <t>2038</t>
    </r>
    <r>
      <rPr>
        <sz val="10"/>
        <color indexed="8"/>
        <rFont val="Times New Roman"/>
        <family val="1"/>
      </rPr>
      <t>年</t>
    </r>
    <r>
      <rPr>
        <sz val="10"/>
        <color indexed="8"/>
        <rFont val="宋体"/>
        <family val="3"/>
        <charset val="134"/>
      </rPr>
      <t/>
    </r>
  </si>
  <si>
    <r>
      <t>2039</t>
    </r>
    <r>
      <rPr>
        <sz val="10"/>
        <color indexed="8"/>
        <rFont val="Times New Roman"/>
        <family val="1"/>
      </rPr>
      <t>年</t>
    </r>
    <r>
      <rPr>
        <sz val="10"/>
        <color indexed="8"/>
        <rFont val="宋体"/>
        <family val="3"/>
        <charset val="134"/>
      </rPr>
      <t/>
    </r>
  </si>
  <si>
    <r>
      <rPr>
        <sz val="10"/>
        <color indexed="8"/>
        <rFont val="宋体"/>
        <family val="3"/>
        <charset val="134"/>
      </rPr>
      <t>现金流入（</t>
    </r>
    <r>
      <rPr>
        <sz val="10"/>
        <color indexed="8"/>
        <rFont val="Arial Narrow"/>
        <family val="2"/>
      </rPr>
      <t>+</t>
    </r>
    <r>
      <rPr>
        <sz val="10"/>
        <color indexed="8"/>
        <rFont val="宋体"/>
        <family val="3"/>
        <charset val="134"/>
      </rPr>
      <t>）</t>
    </r>
    <phoneticPr fontId="2" type="noConversion"/>
  </si>
  <si>
    <r>
      <rPr>
        <sz val="10"/>
        <color indexed="8"/>
        <rFont val="宋体"/>
        <family val="3"/>
        <charset val="134"/>
      </rPr>
      <t>回收固定资产残</t>
    </r>
    <r>
      <rPr>
        <sz val="10"/>
        <color indexed="8"/>
        <rFont val="Arial Narrow"/>
        <family val="2"/>
      </rPr>
      <t>(</t>
    </r>
    <r>
      <rPr>
        <sz val="10"/>
        <color indexed="8"/>
        <rFont val="宋体"/>
        <family val="3"/>
        <charset val="134"/>
      </rPr>
      <t>余</t>
    </r>
    <r>
      <rPr>
        <sz val="10"/>
        <color indexed="8"/>
        <rFont val="Arial Narrow"/>
        <family val="2"/>
      </rPr>
      <t>)</t>
    </r>
    <r>
      <rPr>
        <sz val="10"/>
        <color indexed="8"/>
        <rFont val="宋体"/>
        <family val="3"/>
        <charset val="134"/>
      </rPr>
      <t>值</t>
    </r>
  </si>
  <si>
    <r>
      <rPr>
        <sz val="10"/>
        <color indexed="8"/>
        <rFont val="宋体"/>
        <family val="3"/>
        <charset val="134"/>
      </rPr>
      <t>现金流出（</t>
    </r>
    <r>
      <rPr>
        <sz val="10"/>
        <color indexed="8"/>
        <rFont val="Arial Narrow"/>
        <family val="2"/>
      </rPr>
      <t>-</t>
    </r>
    <r>
      <rPr>
        <sz val="10"/>
        <color indexed="8"/>
        <rFont val="宋体"/>
        <family val="3"/>
        <charset val="134"/>
      </rPr>
      <t>）</t>
    </r>
    <phoneticPr fontId="2" type="noConversion"/>
  </si>
  <si>
    <r>
      <rPr>
        <sz val="10"/>
        <color indexed="8"/>
        <rFont val="宋体"/>
        <family val="3"/>
        <charset val="134"/>
      </rPr>
      <t>折现系数</t>
    </r>
    <r>
      <rPr>
        <sz val="10"/>
        <color indexed="8"/>
        <rFont val="Arial Narrow"/>
        <family val="2"/>
      </rPr>
      <t>(r=8.0%)</t>
    </r>
    <phoneticPr fontId="2" type="noConversion"/>
  </si>
  <si>
    <t>单位：万元</t>
    <phoneticPr fontId="2" type="noConversion"/>
  </si>
  <si>
    <r>
      <rPr>
        <sz val="11"/>
        <rFont val="宋体"/>
        <family val="3"/>
        <charset val="134"/>
      </rPr>
      <t>序号</t>
    </r>
    <phoneticPr fontId="2" type="noConversion"/>
  </si>
  <si>
    <r>
      <rPr>
        <sz val="11"/>
        <rFont val="宋体"/>
        <family val="3"/>
        <charset val="134"/>
      </rPr>
      <t>备</t>
    </r>
    <r>
      <rPr>
        <sz val="11"/>
        <rFont val="Arial"/>
        <family val="2"/>
      </rPr>
      <t xml:space="preserve">         </t>
    </r>
    <r>
      <rPr>
        <sz val="11"/>
        <rFont val="宋体"/>
        <family val="3"/>
        <charset val="134"/>
      </rPr>
      <t>注</t>
    </r>
    <phoneticPr fontId="2" type="noConversion"/>
  </si>
  <si>
    <r>
      <rPr>
        <sz val="11"/>
        <rFont val="宋体"/>
        <family val="3"/>
        <charset val="134"/>
      </rPr>
      <t>项目</t>
    </r>
    <phoneticPr fontId="2" type="noConversion"/>
  </si>
  <si>
    <r>
      <rPr>
        <sz val="11"/>
        <rFont val="Times New Roman"/>
        <family val="1"/>
      </rPr>
      <t>房屋建筑物</t>
    </r>
    <phoneticPr fontId="2" type="noConversion"/>
  </si>
  <si>
    <r>
      <rPr>
        <sz val="11"/>
        <rFont val="Times New Roman"/>
        <family val="1"/>
      </rPr>
      <t>机器设备</t>
    </r>
    <phoneticPr fontId="2" type="noConversion"/>
  </si>
  <si>
    <r>
      <rPr>
        <sz val="11"/>
        <rFont val="宋体"/>
        <family val="3"/>
        <charset val="134"/>
      </rPr>
      <t>其他费用</t>
    </r>
    <phoneticPr fontId="2" type="noConversion"/>
  </si>
  <si>
    <r>
      <rPr>
        <b/>
        <sz val="10"/>
        <color indexed="8"/>
        <rFont val="宋体"/>
        <family val="3"/>
        <charset val="134"/>
      </rPr>
      <t>一</t>
    </r>
    <phoneticPr fontId="2" type="noConversion"/>
  </si>
  <si>
    <r>
      <rPr>
        <sz val="10"/>
        <color indexed="8"/>
        <rFont val="宋体"/>
        <family val="3"/>
        <charset val="134"/>
      </rPr>
      <t>折旧费</t>
    </r>
    <phoneticPr fontId="2" type="noConversion"/>
  </si>
  <si>
    <r>
      <rPr>
        <sz val="10"/>
        <color indexed="8"/>
        <rFont val="宋体"/>
        <family val="3"/>
        <charset val="134"/>
      </rPr>
      <t>净值</t>
    </r>
    <phoneticPr fontId="2" type="noConversion"/>
  </si>
  <si>
    <r>
      <rPr>
        <sz val="10"/>
        <color indexed="8"/>
        <rFont val="宋体"/>
        <family val="3"/>
        <charset val="134"/>
      </rPr>
      <t>残（余）值</t>
    </r>
    <phoneticPr fontId="2" type="noConversion"/>
  </si>
  <si>
    <r>
      <rPr>
        <b/>
        <sz val="10"/>
        <color indexed="8"/>
        <rFont val="宋体"/>
        <family val="3"/>
        <charset val="134"/>
      </rPr>
      <t>二</t>
    </r>
    <phoneticPr fontId="2" type="noConversion"/>
  </si>
  <si>
    <r>
      <rPr>
        <b/>
        <sz val="10"/>
        <color indexed="8"/>
        <rFont val="宋体"/>
        <family val="3"/>
        <charset val="134"/>
      </rPr>
      <t>矿山固定资产</t>
    </r>
    <phoneticPr fontId="2" type="noConversion"/>
  </si>
  <si>
    <r>
      <rPr>
        <sz val="10"/>
        <color indexed="8"/>
        <rFont val="宋体"/>
        <family val="3"/>
        <charset val="134"/>
      </rPr>
      <t>进项税额</t>
    </r>
    <r>
      <rPr>
        <sz val="10"/>
        <color indexed="8"/>
        <rFont val="Arial Narrow"/>
        <family val="2"/>
      </rPr>
      <t>(9%)</t>
    </r>
    <phoneticPr fontId="2" type="noConversion"/>
  </si>
  <si>
    <r>
      <rPr>
        <sz val="10"/>
        <color indexed="8"/>
        <rFont val="宋体"/>
        <family val="3"/>
        <charset val="134"/>
      </rPr>
      <t>原值</t>
    </r>
  </si>
  <si>
    <r>
      <rPr>
        <sz val="10"/>
        <color indexed="8"/>
        <rFont val="宋体"/>
        <family val="3"/>
        <charset val="134"/>
      </rPr>
      <t>进项税额（</t>
    </r>
    <r>
      <rPr>
        <sz val="10"/>
        <color indexed="8"/>
        <rFont val="Arial Narrow"/>
        <family val="2"/>
      </rPr>
      <t>13%</t>
    </r>
    <r>
      <rPr>
        <sz val="10"/>
        <color indexed="8"/>
        <rFont val="宋体"/>
        <family val="3"/>
        <charset val="134"/>
      </rPr>
      <t>）</t>
    </r>
    <phoneticPr fontId="2" type="noConversion"/>
  </si>
  <si>
    <r>
      <rPr>
        <sz val="10"/>
        <color indexed="8"/>
        <rFont val="宋体"/>
        <family val="3"/>
        <charset val="134"/>
      </rPr>
      <t>原值</t>
    </r>
    <phoneticPr fontId="2" type="noConversion"/>
  </si>
  <si>
    <r>
      <rPr>
        <sz val="10"/>
        <color indexed="8"/>
        <rFont val="宋体"/>
        <family val="3"/>
        <charset val="134"/>
      </rPr>
      <t>序号</t>
    </r>
    <phoneticPr fontId="2" type="noConversion"/>
  </si>
  <si>
    <r>
      <rPr>
        <sz val="10"/>
        <color indexed="8"/>
        <rFont val="宋体"/>
        <family val="3"/>
        <charset val="134"/>
      </rPr>
      <t>项目名称</t>
    </r>
    <phoneticPr fontId="2" type="noConversion"/>
  </si>
  <si>
    <r>
      <rPr>
        <sz val="10"/>
        <color indexed="8"/>
        <rFont val="宋体"/>
        <family val="3"/>
        <charset val="134"/>
      </rPr>
      <t>固定资产
投资</t>
    </r>
    <phoneticPr fontId="2" type="noConversion"/>
  </si>
  <si>
    <r>
      <rPr>
        <sz val="10"/>
        <color indexed="8"/>
        <rFont val="宋体"/>
        <family val="3"/>
        <charset val="134"/>
      </rPr>
      <t>折旧
年限</t>
    </r>
    <phoneticPr fontId="2" type="noConversion"/>
  </si>
  <si>
    <r>
      <rPr>
        <sz val="10"/>
        <color indexed="8"/>
        <rFont val="宋体"/>
        <family val="3"/>
        <charset val="134"/>
      </rPr>
      <t>残值率（</t>
    </r>
    <r>
      <rPr>
        <sz val="10"/>
        <color indexed="8"/>
        <rFont val="Arial Narrow"/>
        <family val="2"/>
      </rPr>
      <t>%</t>
    </r>
    <r>
      <rPr>
        <sz val="10"/>
        <color indexed="8"/>
        <rFont val="宋体"/>
        <family val="3"/>
        <charset val="134"/>
      </rPr>
      <t>）</t>
    </r>
    <phoneticPr fontId="2" type="noConversion"/>
  </si>
  <si>
    <r>
      <rPr>
        <sz val="11"/>
        <rFont val="宋体"/>
        <family val="3"/>
        <charset val="134"/>
      </rPr>
      <t>税费率</t>
    </r>
    <phoneticPr fontId="2" type="noConversion"/>
  </si>
  <si>
    <r>
      <rPr>
        <sz val="11"/>
        <rFont val="宋体"/>
        <family val="3"/>
        <charset val="134"/>
      </rPr>
      <t>销售收入</t>
    </r>
    <phoneticPr fontId="2" type="noConversion"/>
  </si>
  <si>
    <r>
      <rPr>
        <sz val="11"/>
        <rFont val="宋体"/>
        <family val="3"/>
        <charset val="134"/>
      </rPr>
      <t>总成本费用</t>
    </r>
    <phoneticPr fontId="2" type="noConversion"/>
  </si>
  <si>
    <r>
      <rPr>
        <sz val="11"/>
        <rFont val="宋体"/>
        <family val="3"/>
        <charset val="134"/>
      </rPr>
      <t>增值税</t>
    </r>
    <phoneticPr fontId="2" type="noConversion"/>
  </si>
  <si>
    <r>
      <rPr>
        <sz val="11"/>
        <rFont val="宋体"/>
        <family val="3"/>
        <charset val="134"/>
      </rPr>
      <t>销项税额</t>
    </r>
    <phoneticPr fontId="2" type="noConversion"/>
  </si>
  <si>
    <r>
      <rPr>
        <sz val="11"/>
        <rFont val="宋体"/>
        <family val="3"/>
        <charset val="134"/>
      </rPr>
      <t>进项税额</t>
    </r>
    <phoneticPr fontId="2" type="noConversion"/>
  </si>
  <si>
    <r>
      <rPr>
        <sz val="11"/>
        <rFont val="宋体"/>
        <family val="3"/>
        <charset val="134"/>
      </rPr>
      <t>抵扣进项税额</t>
    </r>
    <phoneticPr fontId="2" type="noConversion"/>
  </si>
  <si>
    <r>
      <t>13%</t>
    </r>
    <r>
      <rPr>
        <sz val="11"/>
        <rFont val="宋体"/>
        <family val="3"/>
        <charset val="134"/>
      </rPr>
      <t>、</t>
    </r>
    <r>
      <rPr>
        <sz val="11"/>
        <rFont val="Arial Narrow"/>
        <family val="2"/>
      </rPr>
      <t>9%</t>
    </r>
    <phoneticPr fontId="2" type="noConversion"/>
  </si>
  <si>
    <r>
      <rPr>
        <sz val="11"/>
        <rFont val="宋体"/>
        <family val="3"/>
        <charset val="134"/>
      </rPr>
      <t>销售税金及附加</t>
    </r>
    <phoneticPr fontId="2" type="noConversion"/>
  </si>
  <si>
    <r>
      <rPr>
        <sz val="11"/>
        <rFont val="宋体"/>
        <family val="3"/>
        <charset val="134"/>
      </rPr>
      <t>城市维护建设税</t>
    </r>
    <phoneticPr fontId="2" type="noConversion"/>
  </si>
  <si>
    <r>
      <rPr>
        <sz val="11"/>
        <rFont val="宋体"/>
        <family val="3"/>
        <charset val="134"/>
      </rPr>
      <t>教育费附加</t>
    </r>
    <phoneticPr fontId="2" type="noConversion"/>
  </si>
  <si>
    <r>
      <rPr>
        <sz val="11"/>
        <rFont val="宋体"/>
        <family val="3"/>
        <charset val="134"/>
      </rPr>
      <t>地方教育附加</t>
    </r>
    <phoneticPr fontId="2" type="noConversion"/>
  </si>
  <si>
    <r>
      <rPr>
        <sz val="11"/>
        <rFont val="宋体"/>
        <family val="3"/>
        <charset val="134"/>
      </rPr>
      <t>利润总额</t>
    </r>
    <phoneticPr fontId="2" type="noConversion"/>
  </si>
  <si>
    <r>
      <rPr>
        <sz val="11"/>
        <rFont val="宋体"/>
        <family val="3"/>
        <charset val="134"/>
      </rPr>
      <t>企业所得税</t>
    </r>
    <phoneticPr fontId="2" type="noConversion"/>
  </si>
  <si>
    <t>3</t>
  </si>
  <si>
    <t>4</t>
  </si>
  <si>
    <t>单位折旧费</t>
    <phoneticPr fontId="2" type="noConversion"/>
  </si>
  <si>
    <r>
      <rPr>
        <b/>
        <sz val="10"/>
        <color indexed="8"/>
        <rFont val="宋体"/>
        <family val="3"/>
        <charset val="134"/>
      </rPr>
      <t>房屋建筑物</t>
    </r>
    <phoneticPr fontId="2" type="noConversion"/>
  </si>
  <si>
    <r>
      <rPr>
        <sz val="10"/>
        <rFont val="宋体"/>
        <family val="3"/>
        <charset val="134"/>
      </rPr>
      <t>单位：元</t>
    </r>
    <r>
      <rPr>
        <sz val="10"/>
        <rFont val="Arial Narrow"/>
        <family val="2"/>
      </rPr>
      <t>/</t>
    </r>
    <r>
      <rPr>
        <sz val="10"/>
        <rFont val="宋体"/>
        <family val="3"/>
        <charset val="134"/>
      </rPr>
      <t>吨</t>
    </r>
    <phoneticPr fontId="2" type="noConversion"/>
  </si>
  <si>
    <r>
      <rPr>
        <sz val="10"/>
        <color indexed="8"/>
        <rFont val="宋体"/>
        <family val="3"/>
        <charset val="134"/>
      </rPr>
      <t>备注</t>
    </r>
    <phoneticPr fontId="2" type="noConversion"/>
  </si>
  <si>
    <r>
      <rPr>
        <sz val="10"/>
        <color indexed="8"/>
        <rFont val="宋体"/>
        <family val="3"/>
        <charset val="134"/>
      </rPr>
      <t>一年期贷款利率</t>
    </r>
    <r>
      <rPr>
        <sz val="10"/>
        <color indexed="8"/>
        <rFont val="Arial"/>
        <family val="2"/>
      </rPr>
      <t>4.35%</t>
    </r>
    <phoneticPr fontId="2" type="noConversion"/>
  </si>
  <si>
    <r>
      <rPr>
        <sz val="11"/>
        <color indexed="8"/>
        <rFont val="宋体"/>
        <family val="3"/>
        <charset val="134"/>
      </rPr>
      <t>原矿产量</t>
    </r>
    <phoneticPr fontId="2" type="noConversion"/>
  </si>
  <si>
    <r>
      <rPr>
        <sz val="11"/>
        <rFont val="宋体"/>
        <family val="3"/>
        <charset val="134"/>
      </rPr>
      <t>经营成本</t>
    </r>
    <phoneticPr fontId="2" type="noConversion"/>
  </si>
  <si>
    <t>土地使用权投资</t>
    <phoneticPr fontId="2" type="noConversion"/>
  </si>
  <si>
    <t>全部平均</t>
    <phoneticPr fontId="29" type="noConversion"/>
  </si>
  <si>
    <t>近十年平均</t>
    <phoneticPr fontId="29" type="noConversion"/>
  </si>
  <si>
    <t>近八年平均</t>
    <phoneticPr fontId="29" type="noConversion"/>
  </si>
  <si>
    <r>
      <t>2011</t>
    </r>
    <r>
      <rPr>
        <b/>
        <sz val="13"/>
        <rFont val="仿宋"/>
        <family val="3"/>
        <charset val="134"/>
      </rPr>
      <t>年</t>
    </r>
    <r>
      <rPr>
        <b/>
        <sz val="13"/>
        <rFont val="Arial"/>
        <family val="2"/>
      </rPr>
      <t>1</t>
    </r>
    <r>
      <rPr>
        <b/>
        <sz val="13"/>
        <rFont val="仿宋"/>
        <family val="3"/>
        <charset val="134"/>
      </rPr>
      <t>月</t>
    </r>
    <r>
      <rPr>
        <b/>
        <sz val="13"/>
        <rFont val="Arial"/>
        <family val="2"/>
      </rPr>
      <t>-2022</t>
    </r>
    <r>
      <rPr>
        <b/>
        <sz val="13"/>
        <rFont val="仿宋"/>
        <family val="3"/>
        <charset val="134"/>
      </rPr>
      <t>年</t>
    </r>
    <r>
      <rPr>
        <b/>
        <sz val="13"/>
        <rFont val="Arial"/>
        <family val="2"/>
      </rPr>
      <t>9</t>
    </r>
    <r>
      <rPr>
        <b/>
        <sz val="13"/>
        <rFont val="仿宋"/>
        <family val="3"/>
        <charset val="134"/>
      </rPr>
      <t>月萤石价格图表</t>
    </r>
    <phoneticPr fontId="29" type="noConversion"/>
  </si>
  <si>
    <r>
      <rPr>
        <b/>
        <sz val="12"/>
        <rFont val="仿宋"/>
        <family val="3"/>
        <charset val="134"/>
      </rPr>
      <t>时间</t>
    </r>
    <phoneticPr fontId="29" type="noConversion"/>
  </si>
  <si>
    <r>
      <rPr>
        <b/>
        <sz val="12"/>
        <rFont val="仿宋"/>
        <family val="3"/>
        <charset val="134"/>
      </rPr>
      <t>含税价</t>
    </r>
    <phoneticPr fontId="29" type="noConversion"/>
  </si>
  <si>
    <r>
      <rPr>
        <b/>
        <sz val="12"/>
        <rFont val="仿宋"/>
        <family val="3"/>
        <charset val="134"/>
      </rPr>
      <t>税率</t>
    </r>
    <phoneticPr fontId="29" type="noConversion"/>
  </si>
  <si>
    <r>
      <rPr>
        <b/>
        <sz val="12"/>
        <rFont val="仿宋"/>
        <family val="3"/>
        <charset val="134"/>
      </rPr>
      <t>不含税价</t>
    </r>
    <phoneticPr fontId="29" type="noConversion"/>
  </si>
  <si>
    <r>
      <rPr>
        <b/>
        <sz val="12"/>
        <rFont val="仿宋"/>
        <family val="3"/>
        <charset val="134"/>
      </rPr>
      <t>备注</t>
    </r>
    <phoneticPr fontId="29" type="noConversion"/>
  </si>
  <si>
    <r>
      <rPr>
        <sz val="12"/>
        <rFont val="宋体"/>
        <family val="2"/>
        <charset val="134"/>
      </rPr>
      <t>经调查分析内蒙古地区价格比网站提供的全国平均价格低</t>
    </r>
    <r>
      <rPr>
        <sz val="12"/>
        <rFont val="Arial"/>
        <family val="2"/>
      </rPr>
      <t>100</t>
    </r>
    <r>
      <rPr>
        <sz val="12"/>
        <rFont val="宋体"/>
        <family val="2"/>
        <charset val="134"/>
      </rPr>
      <t>元左右，评估考虑扣除</t>
    </r>
    <r>
      <rPr>
        <sz val="12"/>
        <rFont val="Arial"/>
        <family val="2"/>
      </rPr>
      <t>100</t>
    </r>
    <r>
      <rPr>
        <sz val="12"/>
        <rFont val="宋体"/>
        <family val="2"/>
        <charset val="134"/>
      </rPr>
      <t>元差价进行估算。</t>
    </r>
    <phoneticPr fontId="29" type="noConversion"/>
  </si>
  <si>
    <t>I</t>
    <phoneticPr fontId="2" type="noConversion"/>
  </si>
  <si>
    <t>矿石量
万吨</t>
    <phoneticPr fontId="2" type="noConversion"/>
  </si>
  <si>
    <t>控制</t>
    <phoneticPr fontId="2" type="noConversion"/>
  </si>
  <si>
    <t>推断</t>
    <phoneticPr fontId="2" type="noConversion"/>
  </si>
  <si>
    <t>资源
类型</t>
    <phoneticPr fontId="2" type="noConversion"/>
  </si>
  <si>
    <t>合计</t>
    <phoneticPr fontId="2" type="noConversion"/>
  </si>
  <si>
    <r>
      <t>“</t>
    </r>
    <r>
      <rPr>
        <sz val="11"/>
        <rFont val="宋体"/>
        <family val="3"/>
        <charset val="134"/>
      </rPr>
      <t>开发利用方案</t>
    </r>
    <r>
      <rPr>
        <sz val="11"/>
        <rFont val="宋体"/>
        <family val="2"/>
        <charset val="134"/>
      </rPr>
      <t>”建设投资</t>
    </r>
    <phoneticPr fontId="2" type="noConversion"/>
  </si>
  <si>
    <t>机器设备</t>
    <phoneticPr fontId="2" type="noConversion"/>
  </si>
  <si>
    <t>固定资产投资合计</t>
    <phoneticPr fontId="2" type="noConversion"/>
  </si>
  <si>
    <t>其他费用</t>
    <phoneticPr fontId="2" type="noConversion"/>
  </si>
  <si>
    <t>固定资产原值</t>
    <phoneticPr fontId="2" type="noConversion"/>
  </si>
  <si>
    <t>资源税</t>
    <phoneticPr fontId="2" type="noConversion"/>
  </si>
  <si>
    <t>附表一</t>
    <phoneticPr fontId="2" type="noConversion"/>
  </si>
  <si>
    <t>附表六</t>
    <phoneticPr fontId="2" type="noConversion"/>
  </si>
  <si>
    <t>合  计</t>
    <phoneticPr fontId="2" type="noConversion"/>
  </si>
  <si>
    <t>评估利用的可采储量</t>
    <phoneticPr fontId="2" type="noConversion"/>
  </si>
  <si>
    <t>工程预备费</t>
    <phoneticPr fontId="2" type="noConversion"/>
  </si>
  <si>
    <t>类型</t>
    <phoneticPr fontId="2" type="noConversion"/>
  </si>
  <si>
    <r>
      <rPr>
        <sz val="11"/>
        <rFont val="宋体"/>
        <family val="3"/>
        <charset val="134"/>
      </rPr>
      <t>合计</t>
    </r>
    <phoneticPr fontId="2" type="noConversion"/>
  </si>
  <si>
    <t>销售价格（不含税）</t>
    <phoneticPr fontId="2" type="noConversion"/>
  </si>
  <si>
    <r>
      <rPr>
        <sz val="11"/>
        <rFont val="宋体"/>
        <family val="3"/>
        <charset val="134"/>
      </rPr>
      <t>单位</t>
    </r>
    <phoneticPr fontId="2" type="noConversion"/>
  </si>
  <si>
    <r>
      <rPr>
        <sz val="11"/>
        <rFont val="宋体"/>
        <family val="3"/>
        <charset val="134"/>
      </rPr>
      <t>万吨</t>
    </r>
    <phoneticPr fontId="2" type="noConversion"/>
  </si>
  <si>
    <r>
      <rPr>
        <sz val="11"/>
        <rFont val="宋体"/>
        <family val="3"/>
        <charset val="134"/>
      </rPr>
      <t>元</t>
    </r>
    <r>
      <rPr>
        <sz val="11"/>
        <rFont val="Arial Narrow"/>
        <family val="2"/>
      </rPr>
      <t>/</t>
    </r>
    <r>
      <rPr>
        <sz val="11"/>
        <rFont val="宋体"/>
        <family val="3"/>
        <charset val="134"/>
      </rPr>
      <t>吨</t>
    </r>
    <phoneticPr fontId="2" type="noConversion"/>
  </si>
  <si>
    <r>
      <t>销售收入</t>
    </r>
    <r>
      <rPr>
        <b/>
        <sz val="11"/>
        <rFont val="宋体"/>
        <family val="2"/>
        <charset val="134"/>
      </rPr>
      <t>（</t>
    </r>
    <r>
      <rPr>
        <b/>
        <sz val="11"/>
        <rFont val="宋体"/>
        <family val="3"/>
        <charset val="134"/>
      </rPr>
      <t>不含税</t>
    </r>
    <r>
      <rPr>
        <b/>
        <sz val="11"/>
        <rFont val="宋体"/>
        <family val="2"/>
        <charset val="134"/>
      </rPr>
      <t>）</t>
    </r>
    <phoneticPr fontId="2" type="noConversion"/>
  </si>
  <si>
    <t>流动资金计算</t>
    <phoneticPr fontId="2" type="noConversion"/>
  </si>
  <si>
    <t>销售收入</t>
    <phoneticPr fontId="2" type="noConversion"/>
  </si>
  <si>
    <t>固定资产</t>
    <phoneticPr fontId="2" type="noConversion"/>
  </si>
  <si>
    <t>资金率</t>
    <phoneticPr fontId="2" type="noConversion"/>
  </si>
  <si>
    <t>计算值</t>
    <phoneticPr fontId="2" type="noConversion"/>
  </si>
  <si>
    <t>总成本</t>
    <phoneticPr fontId="2" type="noConversion"/>
  </si>
  <si>
    <t>30~40</t>
    <phoneticPr fontId="2" type="noConversion"/>
  </si>
  <si>
    <t>10~15</t>
    <phoneticPr fontId="2" type="noConversion"/>
  </si>
  <si>
    <t>40~50</t>
    <phoneticPr fontId="2" type="noConversion"/>
  </si>
  <si>
    <r>
      <rPr>
        <b/>
        <sz val="11"/>
        <rFont val="宋体"/>
        <family val="3"/>
        <charset val="134"/>
      </rPr>
      <t>万元</t>
    </r>
    <phoneticPr fontId="2" type="noConversion"/>
  </si>
  <si>
    <t>管理费用</t>
    <phoneticPr fontId="2" type="noConversion"/>
  </si>
  <si>
    <t>剥离（开拓）工程</t>
    <phoneticPr fontId="2" type="noConversion"/>
  </si>
  <si>
    <t>矿山
服务
年限
年</t>
    <phoneticPr fontId="2" type="noConversion"/>
  </si>
  <si>
    <t>评估
计算
生产
年限
年</t>
    <phoneticPr fontId="2" type="noConversion"/>
  </si>
  <si>
    <t>经可信度系数调整的评估利用资源储量</t>
    <phoneticPr fontId="2" type="noConversion"/>
  </si>
  <si>
    <t>回采率%</t>
    <phoneticPr fontId="2" type="noConversion"/>
  </si>
  <si>
    <t>损失率%</t>
    <phoneticPr fontId="2" type="noConversion"/>
  </si>
  <si>
    <t>可信度系数</t>
    <phoneticPr fontId="2" type="noConversion"/>
  </si>
  <si>
    <t>个月</t>
    <phoneticPr fontId="2" type="noConversion"/>
  </si>
  <si>
    <t>附表二</t>
    <phoneticPr fontId="30" type="noConversion"/>
  </si>
  <si>
    <t>附表三</t>
    <phoneticPr fontId="2" type="noConversion"/>
  </si>
  <si>
    <t>投资</t>
    <phoneticPr fontId="2" type="noConversion"/>
  </si>
  <si>
    <t>矿山建设</t>
    <phoneticPr fontId="2" type="noConversion"/>
  </si>
  <si>
    <t>房屋建筑物</t>
  </si>
  <si>
    <t>外包</t>
    <phoneticPr fontId="2" type="noConversion"/>
  </si>
  <si>
    <r>
      <t xml:space="preserve">评估利用固定资产投资
</t>
    </r>
    <r>
      <rPr>
        <sz val="10"/>
        <rFont val="宋体"/>
        <family val="3"/>
        <charset val="134"/>
      </rPr>
      <t>（其他费用按照三类工程比例分摊）</t>
    </r>
    <phoneticPr fontId="2" type="noConversion"/>
  </si>
  <si>
    <t>矿业权收益金</t>
    <phoneticPr fontId="2" type="noConversion"/>
  </si>
  <si>
    <t>1.1</t>
    <phoneticPr fontId="2" type="noConversion"/>
  </si>
  <si>
    <t>1.2</t>
    <phoneticPr fontId="2" type="noConversion"/>
  </si>
  <si>
    <t>1.3</t>
  </si>
  <si>
    <t>1.4</t>
  </si>
  <si>
    <t>1.5</t>
  </si>
  <si>
    <t>项目分类</t>
    <phoneticPr fontId="2" type="noConversion"/>
  </si>
  <si>
    <t>设计指标</t>
    <phoneticPr fontId="2" type="noConversion"/>
  </si>
  <si>
    <t>生产成本</t>
    <phoneticPr fontId="2" type="noConversion"/>
  </si>
  <si>
    <t>开采成本</t>
    <phoneticPr fontId="2" type="noConversion"/>
  </si>
  <si>
    <t>剥离成本</t>
    <phoneticPr fontId="2" type="noConversion"/>
  </si>
  <si>
    <t>无形资产摊销</t>
    <phoneticPr fontId="2" type="noConversion"/>
  </si>
  <si>
    <t>其他管理费用</t>
    <phoneticPr fontId="2" type="noConversion"/>
  </si>
  <si>
    <t>长期借款利息</t>
    <phoneticPr fontId="2" type="noConversion"/>
  </si>
  <si>
    <t>流动资金借款利息</t>
    <phoneticPr fontId="2" type="noConversion"/>
  </si>
  <si>
    <t>重新计算</t>
    <phoneticPr fontId="2" type="noConversion"/>
  </si>
  <si>
    <t>土地使用权投资摊销</t>
    <phoneticPr fontId="2" type="noConversion"/>
  </si>
  <si>
    <t>安全费用</t>
    <phoneticPr fontId="2" type="noConversion"/>
  </si>
  <si>
    <t>包括土地复垦环境治理、销售及管理人员薪酬等</t>
    <phoneticPr fontId="2" type="noConversion"/>
  </si>
  <si>
    <r>
      <t>按机器设备（不含税）投资的</t>
    </r>
    <r>
      <rPr>
        <sz val="10"/>
        <rFont val="Arial Narrow"/>
        <family val="2"/>
      </rPr>
      <t>3%</t>
    </r>
    <r>
      <rPr>
        <sz val="10"/>
        <rFont val="宋体"/>
        <family val="3"/>
        <charset val="134"/>
      </rPr>
      <t>重新计算</t>
    </r>
  </si>
  <si>
    <t>原矿产量</t>
    <phoneticPr fontId="2" type="noConversion"/>
  </si>
  <si>
    <t>原矿销量</t>
    <phoneticPr fontId="2" type="noConversion"/>
  </si>
  <si>
    <t>其他费用</t>
  </si>
  <si>
    <t>评估采用资产分类汇总
(结合周边同类型矿山）</t>
    <phoneticPr fontId="2" type="noConversion"/>
  </si>
  <si>
    <t xml:space="preserve">
设计中矿山建设投资包括剥离（开拓）工程、房屋建筑物及机器设备投资；设计中的其他费用扣减矿业权益金、土地使用权等费用，参照同类矿山投资情况合理调整后按比例分摊至三项投资中。</t>
    <phoneticPr fontId="2" type="noConversion"/>
  </si>
  <si>
    <t>评估委托人：临泽县自然资源局</t>
    <phoneticPr fontId="29" type="noConversion"/>
  </si>
  <si>
    <r>
      <rPr>
        <sz val="12"/>
        <rFont val="宋体"/>
        <family val="2"/>
        <charset val="134"/>
      </rPr>
      <t>评估基准日：</t>
    </r>
    <r>
      <rPr>
        <sz val="12"/>
        <rFont val="Arial Narrow"/>
        <family val="2"/>
      </rPr>
      <t>2023</t>
    </r>
    <r>
      <rPr>
        <sz val="12"/>
        <rFont val="宋体"/>
        <family val="2"/>
        <charset val="134"/>
      </rPr>
      <t>年</t>
    </r>
    <r>
      <rPr>
        <sz val="12"/>
        <rFont val="Arial Narrow"/>
        <family val="2"/>
      </rPr>
      <t>8</t>
    </r>
    <r>
      <rPr>
        <sz val="12"/>
        <rFont val="宋体"/>
        <family val="2"/>
        <charset val="134"/>
      </rPr>
      <t>月</t>
    </r>
    <r>
      <rPr>
        <sz val="12"/>
        <rFont val="Arial Narrow"/>
        <family val="2"/>
      </rPr>
      <t>31</t>
    </r>
    <r>
      <rPr>
        <sz val="12"/>
        <rFont val="宋体"/>
        <family val="2"/>
        <charset val="134"/>
      </rPr>
      <t>日</t>
    </r>
    <phoneticPr fontId="29" type="noConversion"/>
  </si>
  <si>
    <r>
      <rPr>
        <sz val="10"/>
        <rFont val="宋体"/>
        <family val="3"/>
        <charset val="134"/>
      </rPr>
      <t>截止核实基准日</t>
    </r>
    <r>
      <rPr>
        <sz val="10"/>
        <rFont val="Arial Narrow"/>
        <family val="3"/>
      </rPr>
      <t>2022</t>
    </r>
    <r>
      <rPr>
        <sz val="10"/>
        <rFont val="宋体"/>
        <family val="3"/>
        <charset val="134"/>
      </rPr>
      <t>年</t>
    </r>
    <r>
      <rPr>
        <sz val="10"/>
        <rFont val="Arial Narrow"/>
        <family val="3"/>
      </rPr>
      <t>10</t>
    </r>
    <r>
      <rPr>
        <sz val="10"/>
        <rFont val="宋体"/>
        <family val="3"/>
        <charset val="134"/>
      </rPr>
      <t>月</t>
    </r>
    <r>
      <rPr>
        <sz val="10"/>
        <rFont val="Arial Narrow"/>
        <family val="3"/>
      </rPr>
      <t>31</t>
    </r>
    <r>
      <rPr>
        <sz val="10"/>
        <rFont val="宋体"/>
        <family val="3"/>
        <charset val="134"/>
      </rPr>
      <t xml:space="preserve">日保有资源量
</t>
    </r>
    <r>
      <rPr>
        <sz val="10"/>
        <rFont val="宋体"/>
        <family val="2"/>
        <charset val="134"/>
      </rPr>
      <t>即评估利用的资源储量</t>
    </r>
    <phoneticPr fontId="2" type="noConversion"/>
  </si>
  <si>
    <r>
      <rPr>
        <sz val="10"/>
        <rFont val="宋体"/>
        <family val="2"/>
        <charset val="134"/>
      </rPr>
      <t>生产
规模
万</t>
    </r>
    <r>
      <rPr>
        <sz val="10"/>
        <rFont val="Arial Narrow"/>
        <family val="2"/>
      </rPr>
      <t>t/a</t>
    </r>
    <phoneticPr fontId="2" type="noConversion"/>
  </si>
  <si>
    <r>
      <rPr>
        <sz val="10"/>
        <rFont val="宋体"/>
        <family val="3"/>
        <charset val="134"/>
      </rPr>
      <t>贫化率（</t>
    </r>
    <r>
      <rPr>
        <sz val="10"/>
        <rFont val="Arial Narrow"/>
        <family val="2"/>
        <charset val="134"/>
      </rPr>
      <t>%</t>
    </r>
    <r>
      <rPr>
        <sz val="10"/>
        <rFont val="宋体"/>
        <family val="3"/>
        <charset val="134"/>
      </rPr>
      <t>）</t>
    </r>
    <phoneticPr fontId="2" type="noConversion"/>
  </si>
  <si>
    <t>矿
体
号</t>
    <phoneticPr fontId="2" type="noConversion"/>
  </si>
  <si>
    <r>
      <t>2023</t>
    </r>
    <r>
      <rPr>
        <sz val="10"/>
        <color indexed="8"/>
        <rFont val="宋体"/>
        <family val="3"/>
        <charset val="134"/>
      </rPr>
      <t>年</t>
    </r>
    <r>
      <rPr>
        <sz val="10"/>
        <color rgb="FF000000"/>
        <rFont val="Arial Narrow"/>
        <family val="3"/>
      </rPr>
      <t xml:space="preserve">
</t>
    </r>
    <r>
      <rPr>
        <sz val="10"/>
        <color rgb="FF000000"/>
        <rFont val="Arial Narrow"/>
        <family val="2"/>
      </rPr>
      <t>9</t>
    </r>
    <r>
      <rPr>
        <sz val="10"/>
        <color indexed="8"/>
        <rFont val="Arial Narrow"/>
        <family val="2"/>
      </rPr>
      <t>-12</t>
    </r>
    <r>
      <rPr>
        <sz val="10"/>
        <color indexed="8"/>
        <rFont val="宋体"/>
        <family val="3"/>
        <charset val="134"/>
      </rPr>
      <t>月</t>
    </r>
    <phoneticPr fontId="2" type="noConversion"/>
  </si>
  <si>
    <r>
      <t>2024</t>
    </r>
    <r>
      <rPr>
        <sz val="10"/>
        <color indexed="8"/>
        <rFont val="宋体"/>
        <family val="3"/>
        <charset val="134"/>
      </rPr>
      <t>年</t>
    </r>
    <r>
      <rPr>
        <sz val="10"/>
        <color rgb="FF000000"/>
        <rFont val="Arial Narrow"/>
        <family val="3"/>
      </rPr>
      <t xml:space="preserve">
</t>
    </r>
    <r>
      <rPr>
        <sz val="10"/>
        <color indexed="8"/>
        <rFont val="Arial Narrow"/>
        <family val="2"/>
      </rPr>
      <t>1-2</t>
    </r>
    <r>
      <rPr>
        <sz val="10"/>
        <color indexed="8"/>
        <rFont val="宋体"/>
        <family val="3"/>
        <charset val="134"/>
      </rPr>
      <t>月</t>
    </r>
    <phoneticPr fontId="2" type="noConversion"/>
  </si>
  <si>
    <r>
      <t>2024</t>
    </r>
    <r>
      <rPr>
        <sz val="10"/>
        <color indexed="8"/>
        <rFont val="宋体"/>
        <family val="3"/>
        <charset val="134"/>
      </rPr>
      <t>年</t>
    </r>
    <r>
      <rPr>
        <sz val="10"/>
        <color rgb="FF000000"/>
        <rFont val="Arial Narrow"/>
        <family val="3"/>
      </rPr>
      <t xml:space="preserve">
</t>
    </r>
    <r>
      <rPr>
        <sz val="10"/>
        <color indexed="8"/>
        <rFont val="Arial Narrow"/>
        <family val="2"/>
      </rPr>
      <t>3-12</t>
    </r>
    <r>
      <rPr>
        <sz val="10"/>
        <color indexed="8"/>
        <rFont val="宋体"/>
        <family val="3"/>
        <charset val="134"/>
      </rPr>
      <t>月</t>
    </r>
    <phoneticPr fontId="2" type="noConversion"/>
  </si>
  <si>
    <t>开采及加工成本</t>
    <phoneticPr fontId="2" type="noConversion"/>
  </si>
  <si>
    <t>（开拓）工程</t>
    <phoneticPr fontId="2" type="noConversion"/>
  </si>
  <si>
    <t>开拓工程</t>
    <phoneticPr fontId="2" type="noConversion"/>
  </si>
  <si>
    <t>制表：冯俊龙</t>
    <phoneticPr fontId="29" type="noConversion"/>
  </si>
  <si>
    <r>
      <rPr>
        <sz val="10"/>
        <color indexed="8"/>
        <rFont val="宋体"/>
        <family val="3"/>
        <charset val="134"/>
      </rPr>
      <t>财资〔</t>
    </r>
    <r>
      <rPr>
        <sz val="10"/>
        <color indexed="8"/>
        <rFont val="Arial Narrow"/>
        <family val="2"/>
      </rPr>
      <t>2022</t>
    </r>
    <r>
      <rPr>
        <sz val="10"/>
        <color indexed="8"/>
        <rFont val="宋体"/>
        <family val="3"/>
        <charset val="134"/>
      </rPr>
      <t>〕</t>
    </r>
    <r>
      <rPr>
        <sz val="10"/>
        <color indexed="8"/>
        <rFont val="Arial Narrow"/>
        <family val="2"/>
      </rPr>
      <t>136</t>
    </r>
    <r>
      <rPr>
        <sz val="10"/>
        <color indexed="8"/>
        <rFont val="宋体"/>
        <family val="3"/>
        <charset val="134"/>
      </rPr>
      <t>号</t>
    </r>
    <phoneticPr fontId="2" type="noConversion"/>
  </si>
  <si>
    <r>
      <t>2040</t>
    </r>
    <r>
      <rPr>
        <sz val="10"/>
        <color indexed="8"/>
        <rFont val="宋体"/>
        <family val="3"/>
        <charset val="134"/>
      </rPr>
      <t xml:space="preserve">年
</t>
    </r>
    <r>
      <rPr>
        <sz val="10"/>
        <color indexed="8"/>
        <rFont val="Arial Narrow"/>
        <family val="2"/>
      </rPr>
      <t>1-7</t>
    </r>
    <r>
      <rPr>
        <sz val="10"/>
        <color indexed="8"/>
        <rFont val="宋体"/>
        <family val="3"/>
        <charset val="134"/>
      </rPr>
      <t>月</t>
    </r>
    <phoneticPr fontId="2" type="noConversion"/>
  </si>
  <si>
    <t>甘肃省临泽县锯条山2号冶金用石英岩矿出让收益评估</t>
    <phoneticPr fontId="29" type="noConversion"/>
  </si>
  <si>
    <t>临泽县锯条山2号冶金用石英岩矿出让收益评估
(初测值)</t>
    <phoneticPr fontId="2" type="noConversion"/>
  </si>
  <si>
    <t>保有资源储量</t>
    <phoneticPr fontId="2" type="noConversion"/>
  </si>
  <si>
    <t>流动资金率</t>
    <phoneticPr fontId="2" type="noConversion"/>
  </si>
  <si>
    <t>5-15%</t>
    <phoneticPr fontId="2" type="noConversion"/>
  </si>
  <si>
    <t>市场基准价元/吨</t>
    <phoneticPr fontId="2" type="noConversion"/>
  </si>
  <si>
    <t>市场基准价核算值（万元）</t>
    <phoneticPr fontId="2" type="noConversion"/>
  </si>
  <si>
    <t>评估价值（万元）</t>
    <phoneticPr fontId="2" type="noConversion"/>
  </si>
  <si>
    <t>单位资源储量评估值</t>
    <phoneticPr fontId="2" type="noConversion"/>
  </si>
  <si>
    <t>评估价值与基准价计算值对比</t>
    <phoneticPr fontId="2" type="noConversion"/>
  </si>
  <si>
    <t>元/吨</t>
    <phoneticPr fontId="2" type="noConversion"/>
  </si>
  <si>
    <t>一区</t>
    <phoneticPr fontId="2" type="noConversion"/>
  </si>
</sst>
</file>

<file path=xl/styles.xml><?xml version="1.0" encoding="utf-8"?>
<styleSheet xmlns="http://schemas.openxmlformats.org/spreadsheetml/2006/main">
  <numFmts count="16">
    <numFmt numFmtId="41" formatCode="_ * #,##0_ ;_ * \-#,##0_ ;_ * &quot;-&quot;_ ;_ @_ "/>
    <numFmt numFmtId="43" formatCode="_ * #,##0.00_ ;_ * \-#,##0.00_ ;_ * &quot;-&quot;??_ ;_ @_ "/>
    <numFmt numFmtId="176" formatCode="_-* #,##0_-;\-* #,##0_-;_-* &quot;-&quot;_-;_-@_-"/>
    <numFmt numFmtId="177" formatCode="_-* #,##0.00_-;\-* #,##0.00_-;_-* &quot;-&quot;??_-;_-@_-"/>
    <numFmt numFmtId="178" formatCode="0.00_ "/>
    <numFmt numFmtId="179" formatCode="0.00_);[Red]\(0.00\)"/>
    <numFmt numFmtId="180" formatCode="0_ "/>
    <numFmt numFmtId="181" formatCode="0_);[Red]\(0\)"/>
    <numFmt numFmtId="182" formatCode="0.0_ "/>
    <numFmt numFmtId="183" formatCode="0.0000_ "/>
    <numFmt numFmtId="184" formatCode="#,##0.00_);[Red]\(#,##0.00\)"/>
    <numFmt numFmtId="185" formatCode="0.0000_);[Red]\(0.0000\)"/>
    <numFmt numFmtId="186" formatCode="0.000_ "/>
    <numFmt numFmtId="187" formatCode="[$-F800]dddd\,\ mmmm\ dd\,\ yyyy"/>
    <numFmt numFmtId="188" formatCode="#\ ???/???"/>
    <numFmt numFmtId="189" formatCode="0.0_);[Red]\(0.0\)"/>
  </numFmts>
  <fonts count="106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0"/>
      <color indexed="8"/>
      <name val="Times New Roman"/>
      <family val="1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Arial Narrow"/>
      <family val="2"/>
    </font>
    <font>
      <b/>
      <sz val="16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sz val="12"/>
      <color indexed="8"/>
      <name val="Arial Narrow"/>
      <family val="2"/>
    </font>
    <font>
      <sz val="12"/>
      <color indexed="9"/>
      <name val="Arial Narrow"/>
      <family val="2"/>
    </font>
    <font>
      <sz val="10"/>
      <color indexed="8"/>
      <name val="Arial Narrow"/>
      <family val="2"/>
    </font>
    <font>
      <b/>
      <sz val="14"/>
      <name val="宋体"/>
      <family val="3"/>
      <charset val="134"/>
    </font>
    <font>
      <b/>
      <sz val="14"/>
      <name val="Arial Narrow"/>
      <family val="2"/>
    </font>
    <font>
      <sz val="14"/>
      <name val="Times New Roman"/>
      <family val="1"/>
    </font>
    <font>
      <b/>
      <sz val="14"/>
      <name val="Times New Roman"/>
      <family val="1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color indexed="9"/>
      <name val="Arial Narrow"/>
      <family val="2"/>
    </font>
    <font>
      <sz val="9"/>
      <color indexed="9"/>
      <name val="宋体"/>
      <family val="3"/>
      <charset val="134"/>
    </font>
    <font>
      <sz val="12"/>
      <color indexed="10"/>
      <name val="Arial Narrow"/>
      <family val="2"/>
    </font>
    <font>
      <sz val="14"/>
      <name val="Arial Narrow"/>
      <family val="2"/>
    </font>
    <font>
      <sz val="14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8"/>
      <name val="Arial Narrow"/>
      <family val="2"/>
    </font>
    <font>
      <sz val="10"/>
      <color indexed="8"/>
      <name val="宋体"/>
      <family val="3"/>
      <charset val="134"/>
    </font>
    <font>
      <sz val="10"/>
      <color indexed="8"/>
      <name val="Arial Narrow"/>
      <family val="2"/>
    </font>
    <font>
      <sz val="12"/>
      <color rgb="FFFF0000"/>
      <name val="宋体"/>
      <family val="3"/>
      <charset val="134"/>
    </font>
    <font>
      <sz val="12"/>
      <name val="宋体"/>
      <family val="2"/>
      <charset val="134"/>
    </font>
    <font>
      <sz val="12"/>
      <color rgb="FFFF0000"/>
      <name val="宋体"/>
      <family val="2"/>
      <charset val="134"/>
    </font>
    <font>
      <sz val="12"/>
      <name val="Arial Narrow"/>
      <family val="2"/>
      <charset val="134"/>
    </font>
    <font>
      <sz val="10"/>
      <name val="宋体"/>
      <family val="2"/>
      <charset val="134"/>
    </font>
    <font>
      <sz val="10"/>
      <color rgb="FF000000"/>
      <name val="Arial Narrow"/>
      <family val="3"/>
    </font>
    <font>
      <sz val="9"/>
      <color indexed="8"/>
      <name val="Arial Narrow"/>
      <family val="2"/>
    </font>
    <font>
      <sz val="10"/>
      <name val="Arial Narrow"/>
      <family val="3"/>
      <charset val="134"/>
    </font>
    <font>
      <sz val="11"/>
      <name val="Arial"/>
      <family val="2"/>
    </font>
    <font>
      <sz val="12"/>
      <name val="Arial"/>
      <family val="2"/>
    </font>
    <font>
      <sz val="11"/>
      <name val="宋体"/>
      <family val="2"/>
      <charset val="134"/>
    </font>
    <font>
      <sz val="10"/>
      <color rgb="FF000000"/>
      <name val="宋体"/>
      <family val="2"/>
      <charset val="134"/>
    </font>
    <font>
      <sz val="11"/>
      <color rgb="FFFF0000"/>
      <name val="Arial"/>
      <family val="2"/>
    </font>
    <font>
      <sz val="11"/>
      <name val="宋体"/>
      <family val="3"/>
      <charset val="134"/>
      <scheme val="maj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1"/>
      <color indexed="8"/>
      <name val="Arial Narrow"/>
      <family val="2"/>
    </font>
    <font>
      <sz val="12"/>
      <color rgb="FFFF0000"/>
      <name val="Arial Narrow"/>
      <family val="2"/>
    </font>
    <font>
      <b/>
      <sz val="12"/>
      <color rgb="FFFF0000"/>
      <name val="宋体"/>
      <family val="2"/>
      <charset val="134"/>
    </font>
    <font>
      <b/>
      <sz val="13"/>
      <name val="Arial"/>
      <family val="2"/>
    </font>
    <font>
      <b/>
      <sz val="13"/>
      <name val="仿宋"/>
      <family val="3"/>
      <charset val="134"/>
    </font>
    <font>
      <b/>
      <sz val="12"/>
      <name val="Arial"/>
      <family val="2"/>
    </font>
    <font>
      <b/>
      <sz val="12"/>
      <name val="仿宋"/>
      <family val="3"/>
      <charset val="134"/>
    </font>
    <font>
      <sz val="12"/>
      <name val="Arial"/>
      <family val="2"/>
      <charset val="134"/>
    </font>
    <font>
      <sz val="12"/>
      <color rgb="FFFF0000"/>
      <name val="仿宋"/>
      <family val="3"/>
      <charset val="134"/>
    </font>
    <font>
      <sz val="11"/>
      <color rgb="FFFF0000"/>
      <name val="宋体"/>
      <family val="3"/>
      <charset val="134"/>
    </font>
    <font>
      <sz val="12"/>
      <color rgb="FFFF0000"/>
      <name val="Times New Roman"/>
      <family val="1"/>
    </font>
    <font>
      <sz val="10"/>
      <name val="Arial Narrow"/>
      <family val="2"/>
      <charset val="134"/>
    </font>
    <font>
      <b/>
      <sz val="11"/>
      <name val="Arial Narrow"/>
      <family val="2"/>
    </font>
    <font>
      <b/>
      <sz val="11"/>
      <name val="宋体"/>
      <family val="3"/>
      <charset val="134"/>
    </font>
    <font>
      <sz val="11"/>
      <color indexed="10"/>
      <name val="Arial Narrow"/>
      <family val="2"/>
    </font>
    <font>
      <sz val="11"/>
      <color indexed="9"/>
      <name val="Arial Narrow"/>
      <family val="2"/>
    </font>
    <font>
      <b/>
      <sz val="11"/>
      <name val="宋体"/>
      <family val="2"/>
      <charset val="134"/>
    </font>
    <font>
      <sz val="13"/>
      <name val="宋体"/>
      <family val="3"/>
      <charset val="134"/>
    </font>
    <font>
      <b/>
      <sz val="13"/>
      <name val="宋体"/>
      <family val="3"/>
      <charset val="134"/>
    </font>
    <font>
      <b/>
      <sz val="10"/>
      <name val="Arial Narrow"/>
      <family val="2"/>
    </font>
    <font>
      <sz val="12"/>
      <color theme="0" tint="-0.14999847407452621"/>
      <name val="仿宋"/>
      <family val="3"/>
      <charset val="134"/>
    </font>
    <font>
      <sz val="11"/>
      <color theme="0" tint="-0.14999847407452621"/>
      <name val="宋体"/>
      <family val="3"/>
      <charset val="134"/>
    </font>
    <font>
      <sz val="10"/>
      <color theme="0" tint="-0.14999847407452621"/>
      <name val="Arial Narrow"/>
      <family val="2"/>
    </font>
    <font>
      <sz val="12"/>
      <color theme="0" tint="-0.14999847407452621"/>
      <name val="Arial Narrow"/>
      <family val="2"/>
    </font>
    <font>
      <sz val="8"/>
      <color rgb="FFFF0000"/>
      <name val="仿宋"/>
      <family val="3"/>
      <charset val="134"/>
    </font>
    <font>
      <sz val="10"/>
      <color rgb="FFFF0000"/>
      <name val="宋体"/>
      <family val="2"/>
      <charset val="134"/>
    </font>
    <font>
      <sz val="10"/>
      <color rgb="FFFF0000"/>
      <name val="宋体"/>
      <family val="3"/>
      <charset val="134"/>
    </font>
    <font>
      <sz val="10"/>
      <color rgb="FFFF0000"/>
      <name val="Arial Narrow"/>
      <family val="2"/>
    </font>
    <font>
      <sz val="10"/>
      <name val="Arial Narrow"/>
      <family val="3"/>
    </font>
    <font>
      <b/>
      <sz val="14"/>
      <color rgb="FFFF0000"/>
      <name val="宋体"/>
      <family val="3"/>
      <charset val="134"/>
    </font>
    <font>
      <sz val="14"/>
      <color rgb="FFFF0000"/>
      <name val="Arial Narrow"/>
      <family val="2"/>
    </font>
    <font>
      <sz val="10"/>
      <color rgb="FFFF0000"/>
      <name val="Times New Roman"/>
      <family val="1"/>
    </font>
    <font>
      <sz val="10"/>
      <color rgb="FFFF0000"/>
      <name val="Arial"/>
      <family val="2"/>
    </font>
    <font>
      <b/>
      <sz val="10"/>
      <color rgb="FF000000"/>
      <name val="宋体"/>
      <family val="2"/>
      <charset val="134"/>
    </font>
    <font>
      <b/>
      <sz val="10"/>
      <color indexed="8"/>
      <name val="Arial"/>
      <family val="2"/>
    </font>
    <font>
      <sz val="10"/>
      <color theme="0" tint="-0.14999847407452621"/>
      <name val="Arial"/>
      <family val="2"/>
    </font>
    <font>
      <sz val="10"/>
      <color theme="0" tint="-0.14999847407452621"/>
      <name val="宋体"/>
      <family val="1"/>
      <charset val="134"/>
    </font>
    <font>
      <sz val="10"/>
      <color theme="0" tint="-0.14999847407452621"/>
      <name val="Times New Roman"/>
      <family val="1"/>
    </font>
    <font>
      <sz val="12"/>
      <color theme="0" tint="-0.14999847407452621"/>
      <name val="Times New Roman"/>
      <family val="1"/>
    </font>
    <font>
      <sz val="10"/>
      <color theme="0" tint="-0.14999847407452621"/>
      <name val="宋体"/>
      <family val="3"/>
      <charset val="134"/>
    </font>
    <font>
      <sz val="10"/>
      <color theme="0" tint="-0.14999847407452621"/>
      <name val="宋体"/>
      <family val="2"/>
      <charset val="134"/>
    </font>
    <font>
      <sz val="10"/>
      <color rgb="FF000000"/>
      <name val="Arial Narrow"/>
      <family val="2"/>
    </font>
    <font>
      <sz val="10"/>
      <color indexed="8"/>
      <name val="Arial Narrow"/>
      <family val="3"/>
      <charset val="134"/>
    </font>
    <font>
      <b/>
      <sz val="10"/>
      <color theme="0" tint="-0.14999847407452621"/>
      <name val="宋体"/>
      <family val="3"/>
      <charset val="134"/>
      <scheme val="minor"/>
    </font>
    <font>
      <sz val="12"/>
      <color theme="0" tint="-0.14999847407452621"/>
      <name val="宋体"/>
      <family val="3"/>
      <charset val="134"/>
      <scheme val="minor"/>
    </font>
    <font>
      <sz val="12"/>
      <color theme="0" tint="-0.14999847407452621"/>
      <name val="Arial"/>
      <family val="2"/>
    </font>
    <font>
      <sz val="12"/>
      <color theme="0" tint="-0.14999847407452621"/>
      <name val="宋体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 applyProtection="0"/>
    <xf numFmtId="0" fontId="1" fillId="0" borderId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414">
    <xf numFmtId="0" fontId="0" fillId="0" borderId="0" xfId="0"/>
    <xf numFmtId="0" fontId="3" fillId="0" borderId="0" xfId="1" applyFont="1" applyAlignment="1">
      <alignment horizontal="center"/>
    </xf>
    <xf numFmtId="179" fontId="3" fillId="0" borderId="0" xfId="1" applyNumberFormat="1" applyFont="1" applyAlignment="1">
      <alignment horizontal="center"/>
    </xf>
    <xf numFmtId="0" fontId="12" fillId="0" borderId="0" xfId="1" applyFont="1" applyAlignment="1">
      <alignment horizontal="center"/>
    </xf>
    <xf numFmtId="179" fontId="12" fillId="0" borderId="0" xfId="1" applyNumberFormat="1" applyFont="1" applyAlignment="1">
      <alignment horizontal="center"/>
    </xf>
    <xf numFmtId="179" fontId="8" fillId="0" borderId="0" xfId="1" applyNumberFormat="1" applyFont="1" applyAlignment="1">
      <alignment horizontal="center"/>
    </xf>
    <xf numFmtId="0" fontId="8" fillId="0" borderId="0" xfId="1" applyFont="1" applyAlignment="1">
      <alignment horizontal="center"/>
    </xf>
    <xf numFmtId="0" fontId="10" fillId="0" borderId="0" xfId="1" applyFont="1" applyAlignment="1">
      <alignment vertical="center"/>
    </xf>
    <xf numFmtId="179" fontId="13" fillId="0" borderId="0" xfId="1" applyNumberFormat="1" applyFont="1" applyAlignment="1">
      <alignment horizontal="center" vertical="center"/>
    </xf>
    <xf numFmtId="179" fontId="17" fillId="0" borderId="0" xfId="1" applyNumberFormat="1" applyFont="1" applyAlignment="1">
      <alignment horizontal="center" vertical="center"/>
    </xf>
    <xf numFmtId="181" fontId="13" fillId="0" borderId="0" xfId="1" applyNumberFormat="1" applyFont="1" applyAlignment="1">
      <alignment horizontal="center" vertical="center"/>
    </xf>
    <xf numFmtId="179" fontId="23" fillId="0" borderId="0" xfId="1" applyNumberFormat="1" applyFont="1" applyAlignment="1">
      <alignment horizontal="left" vertical="center"/>
    </xf>
    <xf numFmtId="0" fontId="17" fillId="0" borderId="0" xfId="1" applyFont="1" applyAlignment="1">
      <alignment vertical="center"/>
    </xf>
    <xf numFmtId="0" fontId="17" fillId="0" borderId="0" xfId="1" applyFont="1" applyAlignment="1">
      <alignment horizontal="center" vertical="center"/>
    </xf>
    <xf numFmtId="178" fontId="5" fillId="0" borderId="0" xfId="1" applyNumberFormat="1" applyFont="1" applyAlignment="1">
      <alignment horizontal="center" vertical="center" wrapText="1"/>
    </xf>
    <xf numFmtId="178" fontId="24" fillId="0" borderId="0" xfId="1" applyNumberFormat="1" applyFont="1" applyAlignment="1">
      <alignment horizontal="center" vertical="center" wrapText="1"/>
    </xf>
    <xf numFmtId="178" fontId="25" fillId="0" borderId="0" xfId="1" applyNumberFormat="1" applyFont="1" applyAlignment="1">
      <alignment vertical="center" wrapText="1"/>
    </xf>
    <xf numFmtId="178" fontId="26" fillId="0" borderId="0" xfId="1" applyNumberFormat="1" applyFont="1" applyAlignment="1">
      <alignment horizontal="center" vertical="center" wrapText="1"/>
    </xf>
    <xf numFmtId="2" fontId="17" fillId="0" borderId="0" xfId="1" applyNumberFormat="1" applyFont="1" applyAlignment="1">
      <alignment vertical="center"/>
    </xf>
    <xf numFmtId="0" fontId="11" fillId="0" borderId="0" xfId="1" applyFont="1"/>
    <xf numFmtId="184" fontId="12" fillId="0" borderId="0" xfId="1" applyNumberFormat="1" applyFont="1" applyAlignment="1">
      <alignment horizontal="center"/>
    </xf>
    <xf numFmtId="184" fontId="3" fillId="0" borderId="0" xfId="1" applyNumberFormat="1" applyFont="1" applyAlignment="1">
      <alignment horizontal="center"/>
    </xf>
    <xf numFmtId="179" fontId="33" fillId="0" borderId="0" xfId="1" applyNumberFormat="1" applyFont="1" applyAlignment="1">
      <alignment horizontal="center" vertical="center"/>
    </xf>
    <xf numFmtId="179" fontId="34" fillId="0" borderId="0" xfId="1" applyNumberFormat="1" applyFont="1" applyAlignment="1">
      <alignment horizontal="center" vertical="center"/>
    </xf>
    <xf numFmtId="0" fontId="26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2" fontId="40" fillId="0" borderId="1" xfId="1" applyNumberFormat="1" applyFont="1" applyBorder="1" applyAlignment="1">
      <alignment vertical="center"/>
    </xf>
    <xf numFmtId="180" fontId="41" fillId="0" borderId="1" xfId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3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horizontal="left" vertical="center"/>
    </xf>
    <xf numFmtId="187" fontId="45" fillId="0" borderId="0" xfId="0" applyNumberFormat="1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178" fontId="36" fillId="0" borderId="0" xfId="1" applyNumberFormat="1" applyFont="1" applyAlignment="1">
      <alignment horizontal="center" vertical="center" wrapText="1"/>
    </xf>
    <xf numFmtId="179" fontId="17" fillId="0" borderId="0" xfId="1" applyNumberFormat="1" applyFont="1" applyAlignment="1">
      <alignment vertical="center"/>
    </xf>
    <xf numFmtId="179" fontId="17" fillId="0" borderId="0" xfId="1" applyNumberFormat="1" applyFont="1" applyAlignment="1">
      <alignment horizontal="left" vertical="center"/>
    </xf>
    <xf numFmtId="179" fontId="17" fillId="0" borderId="0" xfId="1" applyNumberFormat="1" applyFont="1" applyAlignment="1">
      <alignment horizontal="right" vertical="center"/>
    </xf>
    <xf numFmtId="179" fontId="28" fillId="0" borderId="0" xfId="1" applyNumberFormat="1" applyFont="1" applyAlignment="1">
      <alignment horizontal="right" vertical="center"/>
    </xf>
    <xf numFmtId="188" fontId="21" fillId="0" borderId="1" xfId="1" applyNumberFormat="1" applyFont="1" applyBorder="1" applyAlignment="1">
      <alignment horizontal="center" vertical="center" wrapText="1"/>
    </xf>
    <xf numFmtId="178" fontId="37" fillId="0" borderId="0" xfId="1" applyNumberFormat="1" applyFont="1" applyAlignment="1">
      <alignment horizontal="center" vertical="center"/>
    </xf>
    <xf numFmtId="178" fontId="17" fillId="0" borderId="1" xfId="1" applyNumberFormat="1" applyFont="1" applyBorder="1" applyAlignment="1">
      <alignment horizontal="center" vertical="center" wrapText="1"/>
    </xf>
    <xf numFmtId="178" fontId="17" fillId="0" borderId="0" xfId="1" applyNumberFormat="1" applyFont="1" applyAlignment="1">
      <alignment horizontal="center" vertical="center" wrapText="1"/>
    </xf>
    <xf numFmtId="178" fontId="22" fillId="0" borderId="0" xfId="1" applyNumberFormat="1" applyFont="1" applyAlignment="1">
      <alignment horizontal="right" vertical="center"/>
    </xf>
    <xf numFmtId="178" fontId="23" fillId="0" borderId="0" xfId="1" applyNumberFormat="1" applyFont="1" applyAlignment="1">
      <alignment horizontal="left" vertical="center" wrapText="1"/>
    </xf>
    <xf numFmtId="178" fontId="13" fillId="0" borderId="0" xfId="1" applyNumberFormat="1" applyFont="1" applyAlignment="1">
      <alignment horizontal="center" vertical="center" wrapText="1"/>
    </xf>
    <xf numFmtId="180" fontId="17" fillId="0" borderId="1" xfId="1" applyNumberFormat="1" applyFont="1" applyBorder="1" applyAlignment="1">
      <alignment horizontal="center" vertical="center" wrapText="1"/>
    </xf>
    <xf numFmtId="178" fontId="20" fillId="0" borderId="0" xfId="1" applyNumberFormat="1" applyFont="1" applyAlignment="1">
      <alignment horizontal="center" vertical="center" wrapText="1"/>
    </xf>
    <xf numFmtId="179" fontId="23" fillId="0" borderId="0" xfId="1" applyNumberFormat="1" applyFont="1" applyAlignment="1">
      <alignment vertical="center"/>
    </xf>
    <xf numFmtId="179" fontId="22" fillId="0" borderId="0" xfId="1" applyNumberFormat="1" applyFont="1" applyAlignment="1">
      <alignment horizontal="right" vertical="center"/>
    </xf>
    <xf numFmtId="179" fontId="22" fillId="0" borderId="0" xfId="1" applyNumberFormat="1" applyFont="1" applyAlignment="1">
      <alignment horizontal="left" vertical="center"/>
    </xf>
    <xf numFmtId="179" fontId="36" fillId="0" borderId="0" xfId="1" applyNumberFormat="1" applyFont="1" applyAlignment="1">
      <alignment horizontal="center" vertical="center"/>
    </xf>
    <xf numFmtId="179" fontId="51" fillId="0" borderId="0" xfId="1" applyNumberFormat="1" applyFont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50" fillId="0" borderId="1" xfId="1" applyFont="1" applyBorder="1" applyAlignment="1">
      <alignment horizontal="center" vertical="center" wrapText="1"/>
    </xf>
    <xf numFmtId="0" fontId="50" fillId="0" borderId="1" xfId="1" applyFont="1" applyBorder="1" applyAlignment="1">
      <alignment horizontal="center" vertical="center"/>
    </xf>
    <xf numFmtId="178" fontId="50" fillId="0" borderId="1" xfId="8" applyNumberFormat="1" applyFont="1" applyFill="1" applyBorder="1" applyAlignment="1">
      <alignment horizontal="center" vertical="center"/>
    </xf>
    <xf numFmtId="178" fontId="50" fillId="0" borderId="1" xfId="1" applyNumberFormat="1" applyFont="1" applyBorder="1" applyAlignment="1">
      <alignment horizontal="center" vertical="center"/>
    </xf>
    <xf numFmtId="179" fontId="51" fillId="0" borderId="0" xfId="1" applyNumberFormat="1" applyFont="1" applyAlignment="1">
      <alignment horizontal="left" vertical="center"/>
    </xf>
    <xf numFmtId="0" fontId="51" fillId="0" borderId="0" xfId="1" applyFont="1" applyAlignment="1">
      <alignment horizontal="left" vertical="center"/>
    </xf>
    <xf numFmtId="0" fontId="26" fillId="0" borderId="0" xfId="1" applyFont="1"/>
    <xf numFmtId="0" fontId="26" fillId="0" borderId="0" xfId="1" applyFont="1" applyAlignment="1">
      <alignment wrapText="1"/>
    </xf>
    <xf numFmtId="0" fontId="26" fillId="0" borderId="0" xfId="1" applyFont="1" applyAlignment="1">
      <alignment horizontal="center"/>
    </xf>
    <xf numFmtId="0" fontId="26" fillId="0" borderId="0" xfId="1" applyFont="1" applyAlignment="1">
      <alignment horizontal="right"/>
    </xf>
    <xf numFmtId="179" fontId="26" fillId="0" borderId="0" xfId="1" applyNumberFormat="1" applyFont="1" applyAlignment="1">
      <alignment horizontal="center"/>
    </xf>
    <xf numFmtId="181" fontId="16" fillId="0" borderId="1" xfId="1" applyNumberFormat="1" applyFont="1" applyBorder="1" applyAlignment="1">
      <alignment horizontal="center" vertical="center" wrapText="1"/>
    </xf>
    <xf numFmtId="179" fontId="17" fillId="0" borderId="1" xfId="1" applyNumberFormat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80" fontId="18" fillId="0" borderId="1" xfId="1" applyNumberFormat="1" applyFont="1" applyBorder="1" applyAlignment="1">
      <alignment horizontal="center" vertical="center" wrapText="1"/>
    </xf>
    <xf numFmtId="178" fontId="18" fillId="0" borderId="1" xfId="1" applyNumberFormat="1" applyFont="1" applyBorder="1" applyAlignment="1">
      <alignment horizontal="center" vertical="center" wrapText="1"/>
    </xf>
    <xf numFmtId="178" fontId="18" fillId="0" borderId="0" xfId="1" applyNumberFormat="1" applyFont="1" applyAlignment="1">
      <alignment horizontal="center" vertical="center" wrapText="1"/>
    </xf>
    <xf numFmtId="9" fontId="18" fillId="0" borderId="1" xfId="1" applyNumberFormat="1" applyFont="1" applyBorder="1" applyAlignment="1">
      <alignment horizontal="center" vertical="center" wrapText="1"/>
    </xf>
    <xf numFmtId="178" fontId="21" fillId="0" borderId="1" xfId="1" applyNumberFormat="1" applyFont="1" applyBorder="1" applyAlignment="1">
      <alignment horizontal="center" vertical="center" wrapText="1"/>
    </xf>
    <xf numFmtId="0" fontId="21" fillId="0" borderId="1" xfId="2" applyFont="1" applyBorder="1" applyAlignment="1">
      <alignment vertical="center"/>
    </xf>
    <xf numFmtId="0" fontId="21" fillId="0" borderId="1" xfId="2" applyFont="1" applyBorder="1" applyAlignment="1">
      <alignment horizontal="right" vertical="center"/>
    </xf>
    <xf numFmtId="0" fontId="39" fillId="0" borderId="1" xfId="2" applyFont="1" applyBorder="1" applyAlignment="1">
      <alignment horizontal="center" vertical="center"/>
    </xf>
    <xf numFmtId="179" fontId="21" fillId="0" borderId="1" xfId="2" applyNumberFormat="1" applyFont="1" applyBorder="1" applyAlignment="1">
      <alignment horizontal="center" vertical="center"/>
    </xf>
    <xf numFmtId="181" fontId="21" fillId="0" borderId="1" xfId="2" applyNumberFormat="1" applyFont="1" applyBorder="1" applyAlignment="1">
      <alignment horizontal="center" vertical="center"/>
    </xf>
    <xf numFmtId="0" fontId="21" fillId="0" borderId="0" xfId="2" applyFont="1" applyAlignment="1">
      <alignment vertical="center"/>
    </xf>
    <xf numFmtId="181" fontId="54" fillId="0" borderId="0" xfId="1" applyNumberFormat="1" applyFont="1" applyAlignment="1">
      <alignment horizontal="center" vertical="center"/>
    </xf>
    <xf numFmtId="179" fontId="54" fillId="0" borderId="0" xfId="1" applyNumberFormat="1" applyFont="1" applyAlignment="1">
      <alignment horizontal="right" vertical="center"/>
    </xf>
    <xf numFmtId="0" fontId="39" fillId="0" borderId="1" xfId="2" applyFont="1" applyBorder="1" applyAlignment="1">
      <alignment vertical="center"/>
    </xf>
    <xf numFmtId="0" fontId="48" fillId="0" borderId="0" xfId="2" applyFont="1" applyAlignment="1">
      <alignment vertical="center"/>
    </xf>
    <xf numFmtId="0" fontId="38" fillId="0" borderId="1" xfId="2" applyFont="1" applyBorder="1" applyAlignment="1">
      <alignment vertical="center"/>
    </xf>
    <xf numFmtId="0" fontId="53" fillId="0" borderId="1" xfId="2" applyFont="1" applyBorder="1" applyAlignment="1">
      <alignment vertical="center"/>
    </xf>
    <xf numFmtId="182" fontId="18" fillId="0" borderId="1" xfId="1" applyNumberFormat="1" applyFont="1" applyBorder="1" applyAlignment="1">
      <alignment horizontal="right" vertical="center" wrapText="1"/>
    </xf>
    <xf numFmtId="179" fontId="17" fillId="0" borderId="0" xfId="1" applyNumberFormat="1" applyFont="1"/>
    <xf numFmtId="179" fontId="17" fillId="0" borderId="0" xfId="1" applyNumberFormat="1" applyFont="1" applyAlignment="1">
      <alignment wrapText="1"/>
    </xf>
    <xf numFmtId="179" fontId="17" fillId="0" borderId="0" xfId="1" applyNumberFormat="1" applyFont="1" applyAlignment="1">
      <alignment horizontal="center" wrapText="1"/>
    </xf>
    <xf numFmtId="179" fontId="17" fillId="0" borderId="0" xfId="1" applyNumberFormat="1" applyFont="1" applyAlignment="1">
      <alignment horizontal="left"/>
    </xf>
    <xf numFmtId="179" fontId="17" fillId="0" borderId="0" xfId="1" applyNumberFormat="1" applyFont="1" applyAlignment="1">
      <alignment horizontal="center"/>
    </xf>
    <xf numFmtId="179" fontId="17" fillId="0" borderId="0" xfId="1" applyNumberFormat="1" applyFont="1" applyAlignment="1">
      <alignment horizontal="right"/>
    </xf>
    <xf numFmtId="179" fontId="55" fillId="0" borderId="0" xfId="1" applyNumberFormat="1" applyFont="1" applyAlignment="1">
      <alignment horizontal="left" vertical="center"/>
    </xf>
    <xf numFmtId="179" fontId="55" fillId="0" borderId="0" xfId="1" applyNumberFormat="1" applyFont="1" applyAlignment="1">
      <alignment vertical="center"/>
    </xf>
    <xf numFmtId="0" fontId="55" fillId="0" borderId="0" xfId="1" applyFont="1" applyAlignment="1">
      <alignment vertical="center"/>
    </xf>
    <xf numFmtId="0" fontId="55" fillId="0" borderId="0" xfId="1" applyFont="1" applyAlignment="1">
      <alignment horizontal="center" vertical="center"/>
    </xf>
    <xf numFmtId="179" fontId="55" fillId="0" borderId="0" xfId="1" applyNumberFormat="1" applyFont="1" applyAlignment="1">
      <alignment horizontal="center" vertical="center"/>
    </xf>
    <xf numFmtId="179" fontId="55" fillId="0" borderId="0" xfId="1" applyNumberFormat="1" applyFont="1" applyAlignment="1">
      <alignment horizontal="right" vertical="center"/>
    </xf>
    <xf numFmtId="181" fontId="55" fillId="0" borderId="0" xfId="1" applyNumberFormat="1" applyFont="1" applyAlignment="1">
      <alignment horizontal="right" vertical="center"/>
    </xf>
    <xf numFmtId="179" fontId="18" fillId="0" borderId="0" xfId="1" applyNumberFormat="1" applyFont="1" applyAlignment="1">
      <alignment vertical="center"/>
    </xf>
    <xf numFmtId="179" fontId="18" fillId="0" borderId="0" xfId="1" applyNumberFormat="1" applyFont="1" applyAlignment="1">
      <alignment horizontal="center" vertical="center"/>
    </xf>
    <xf numFmtId="0" fontId="18" fillId="0" borderId="0" xfId="1" applyFont="1" applyAlignment="1">
      <alignment vertical="center"/>
    </xf>
    <xf numFmtId="179" fontId="18" fillId="0" borderId="0" xfId="1" applyNumberFormat="1" applyFont="1" applyAlignment="1">
      <alignment horizontal="right" vertical="center"/>
    </xf>
    <xf numFmtId="179" fontId="18" fillId="0" borderId="0" xfId="1" applyNumberFormat="1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57" fontId="21" fillId="0" borderId="1" xfId="1" applyNumberFormat="1" applyFont="1" applyBorder="1" applyAlignment="1">
      <alignment horizontal="center" vertical="center" wrapText="1"/>
    </xf>
    <xf numFmtId="179" fontId="35" fillId="0" borderId="0" xfId="1" applyNumberFormat="1" applyFont="1" applyAlignment="1">
      <alignment horizontal="center" vertical="center"/>
    </xf>
    <xf numFmtId="0" fontId="57" fillId="0" borderId="1" xfId="1" applyFont="1" applyBorder="1" applyAlignment="1">
      <alignment vertical="center"/>
    </xf>
    <xf numFmtId="0" fontId="59" fillId="0" borderId="1" xfId="1" applyFont="1" applyBorder="1" applyAlignment="1">
      <alignment horizontal="left" vertical="center" wrapText="1"/>
    </xf>
    <xf numFmtId="179" fontId="18" fillId="0" borderId="1" xfId="1" applyNumberFormat="1" applyFont="1" applyBorder="1" applyAlignment="1">
      <alignment horizontal="left" vertical="center" wrapText="1"/>
    </xf>
    <xf numFmtId="178" fontId="18" fillId="0" borderId="1" xfId="1" applyNumberFormat="1" applyFont="1" applyBorder="1" applyAlignment="1">
      <alignment horizontal="left" vertical="center" wrapText="1" indent="1"/>
    </xf>
    <xf numFmtId="0" fontId="18" fillId="0" borderId="0" xfId="1" applyFont="1" applyAlignment="1">
      <alignment horizontal="left"/>
    </xf>
    <xf numFmtId="179" fontId="51" fillId="0" borderId="1" xfId="0" applyNumberFormat="1" applyFont="1" applyBorder="1" applyAlignment="1">
      <alignment horizontal="center" vertical="center"/>
    </xf>
    <xf numFmtId="2" fontId="57" fillId="0" borderId="1" xfId="1" applyNumberFormat="1" applyFont="1" applyBorder="1" applyAlignment="1">
      <alignment vertical="center"/>
    </xf>
    <xf numFmtId="0" fontId="57" fillId="0" borderId="1" xfId="1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0" fontId="52" fillId="0" borderId="1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0" fontId="52" fillId="0" borderId="1" xfId="1" applyFont="1" applyBorder="1" applyAlignment="1">
      <alignment horizontal="center" vertical="center"/>
    </xf>
    <xf numFmtId="188" fontId="17" fillId="0" borderId="0" xfId="1" applyNumberFormat="1" applyFont="1" applyAlignment="1">
      <alignment vertical="center"/>
    </xf>
    <xf numFmtId="0" fontId="21" fillId="0" borderId="1" xfId="1" applyFont="1" applyBorder="1" applyAlignment="1">
      <alignment horizontal="justify" vertical="center" wrapText="1"/>
    </xf>
    <xf numFmtId="178" fontId="17" fillId="0" borderId="1" xfId="1" applyNumberFormat="1" applyFont="1" applyBorder="1" applyAlignment="1">
      <alignment vertical="center"/>
    </xf>
    <xf numFmtId="183" fontId="21" fillId="0" borderId="1" xfId="1" applyNumberFormat="1" applyFont="1" applyBorder="1" applyAlignment="1">
      <alignment horizontal="center" vertical="center" wrapText="1"/>
    </xf>
    <xf numFmtId="0" fontId="17" fillId="0" borderId="1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9" fillId="0" borderId="0" xfId="1" applyFont="1" applyAlignment="1">
      <alignment horizontal="justify" vertical="center" wrapText="1"/>
    </xf>
    <xf numFmtId="0" fontId="20" fillId="0" borderId="0" xfId="1" applyFont="1" applyAlignment="1">
      <alignment vertical="center"/>
    </xf>
    <xf numFmtId="0" fontId="22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51" fillId="0" borderId="0" xfId="1" applyFont="1" applyAlignment="1">
      <alignment vertical="center"/>
    </xf>
    <xf numFmtId="180" fontId="41" fillId="0" borderId="1" xfId="1" applyNumberFormat="1" applyFont="1" applyBorder="1" applyAlignment="1">
      <alignment horizontal="center" vertical="center" wrapText="1"/>
    </xf>
    <xf numFmtId="178" fontId="41" fillId="0" borderId="1" xfId="1" applyNumberFormat="1" applyFont="1" applyBorder="1" applyAlignment="1">
      <alignment horizontal="center" vertical="center" wrapText="1"/>
    </xf>
    <xf numFmtId="2" fontId="15" fillId="0" borderId="0" xfId="1" applyNumberFormat="1" applyFont="1" applyAlignment="1">
      <alignment vertical="center"/>
    </xf>
    <xf numFmtId="178" fontId="15" fillId="0" borderId="0" xfId="1" applyNumberFormat="1" applyFont="1" applyAlignment="1">
      <alignment vertical="center"/>
    </xf>
    <xf numFmtId="0" fontId="1" fillId="0" borderId="0" xfId="1" applyAlignment="1">
      <alignment vertical="center"/>
    </xf>
    <xf numFmtId="2" fontId="56" fillId="0" borderId="0" xfId="1" applyNumberFormat="1" applyFont="1" applyAlignment="1">
      <alignment vertical="center"/>
    </xf>
    <xf numFmtId="0" fontId="51" fillId="0" borderId="0" xfId="0" applyFont="1" applyAlignment="1">
      <alignment horizontal="center" vertical="center"/>
    </xf>
    <xf numFmtId="0" fontId="51" fillId="0" borderId="0" xfId="0" applyFont="1" applyAlignment="1">
      <alignment horizontal="left" vertical="center"/>
    </xf>
    <xf numFmtId="179" fontId="51" fillId="0" borderId="0" xfId="0" applyNumberFormat="1" applyFont="1" applyAlignment="1">
      <alignment horizontal="center" vertical="center"/>
    </xf>
    <xf numFmtId="9" fontId="51" fillId="0" borderId="0" xfId="9" applyFont="1" applyAlignment="1">
      <alignment horizontal="center" vertical="center"/>
    </xf>
    <xf numFmtId="9" fontId="51" fillId="0" borderId="1" xfId="9" applyFont="1" applyBorder="1" applyAlignment="1">
      <alignment horizontal="center" vertical="center"/>
    </xf>
    <xf numFmtId="187" fontId="51" fillId="0" borderId="1" xfId="0" applyNumberFormat="1" applyFont="1" applyBorder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14" fontId="51" fillId="0" borderId="1" xfId="0" applyNumberFormat="1" applyFont="1" applyBorder="1" applyAlignment="1">
      <alignment horizontal="left" vertical="center"/>
    </xf>
    <xf numFmtId="0" fontId="61" fillId="2" borderId="1" xfId="0" applyFont="1" applyFill="1" applyBorder="1" applyAlignment="1">
      <alignment horizontal="center" vertical="center"/>
    </xf>
    <xf numFmtId="179" fontId="51" fillId="2" borderId="1" xfId="0" applyNumberFormat="1" applyFont="1" applyFill="1" applyBorder="1" applyAlignment="1">
      <alignment horizontal="center" vertical="center"/>
    </xf>
    <xf numFmtId="9" fontId="51" fillId="2" borderId="1" xfId="9" applyFont="1" applyFill="1" applyBorder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179" fontId="64" fillId="0" borderId="1" xfId="0" applyNumberFormat="1" applyFont="1" applyBorder="1" applyAlignment="1">
      <alignment horizontal="center" vertical="center"/>
    </xf>
    <xf numFmtId="9" fontId="64" fillId="0" borderId="1" xfId="9" applyFont="1" applyBorder="1" applyAlignment="1">
      <alignment horizontal="center" vertical="center"/>
    </xf>
    <xf numFmtId="179" fontId="21" fillId="0" borderId="1" xfId="2" applyNumberFormat="1" applyFont="1" applyBorder="1" applyAlignment="1">
      <alignment vertical="center"/>
    </xf>
    <xf numFmtId="0" fontId="67" fillId="0" borderId="0" xfId="0" applyFont="1" applyAlignment="1">
      <alignment horizontal="justify" vertical="center"/>
    </xf>
    <xf numFmtId="186" fontId="13" fillId="0" borderId="0" xfId="1" applyNumberFormat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right" vertical="center"/>
    </xf>
    <xf numFmtId="2" fontId="10" fillId="0" borderId="0" xfId="1" applyNumberFormat="1" applyFont="1" applyAlignment="1">
      <alignment vertical="center"/>
    </xf>
    <xf numFmtId="178" fontId="55" fillId="0" borderId="0" xfId="1" applyNumberFormat="1" applyFont="1" applyAlignment="1">
      <alignment horizontal="center" vertical="center" wrapText="1"/>
    </xf>
    <xf numFmtId="178" fontId="55" fillId="0" borderId="0" xfId="1" applyNumberFormat="1" applyFont="1" applyAlignment="1">
      <alignment horizontal="left" vertical="center"/>
    </xf>
    <xf numFmtId="178" fontId="55" fillId="0" borderId="0" xfId="1" applyNumberFormat="1" applyFont="1" applyAlignment="1">
      <alignment vertical="center"/>
    </xf>
    <xf numFmtId="178" fontId="55" fillId="0" borderId="0" xfId="1" applyNumberFormat="1" applyFont="1" applyAlignment="1">
      <alignment horizontal="right" vertical="center"/>
    </xf>
    <xf numFmtId="0" fontId="67" fillId="0" borderId="0" xfId="0" applyFont="1"/>
    <xf numFmtId="0" fontId="7" fillId="0" borderId="0" xfId="1" applyFont="1"/>
    <xf numFmtId="0" fontId="22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78" fontId="22" fillId="0" borderId="0" xfId="1" applyNumberFormat="1" applyFont="1" applyAlignment="1">
      <alignment horizontal="left" vertical="center"/>
    </xf>
    <xf numFmtId="178" fontId="22" fillId="0" borderId="0" xfId="1" applyNumberFormat="1" applyFont="1" applyAlignment="1">
      <alignment vertical="center"/>
    </xf>
    <xf numFmtId="179" fontId="50" fillId="0" borderId="1" xfId="1" applyNumberFormat="1" applyFont="1" applyBorder="1" applyAlignment="1">
      <alignment horizontal="center" vertical="center"/>
    </xf>
    <xf numFmtId="0" fontId="21" fillId="0" borderId="1" xfId="1" applyFont="1" applyBorder="1" applyAlignment="1">
      <alignment horizontal="right" vertical="center"/>
    </xf>
    <xf numFmtId="0" fontId="57" fillId="0" borderId="1" xfId="1" applyFont="1" applyBorder="1" applyAlignment="1">
      <alignment horizontal="right" vertical="center"/>
    </xf>
    <xf numFmtId="0" fontId="42" fillId="0" borderId="0" xfId="1" applyFont="1" applyAlignment="1">
      <alignment horizontal="center"/>
    </xf>
    <xf numFmtId="0" fontId="68" fillId="0" borderId="0" xfId="1" applyFont="1" applyAlignment="1">
      <alignment horizontal="center"/>
    </xf>
    <xf numFmtId="0" fontId="69" fillId="0" borderId="0" xfId="1" applyFont="1" applyAlignment="1">
      <alignment horizontal="center"/>
    </xf>
    <xf numFmtId="179" fontId="22" fillId="0" borderId="0" xfId="1" applyNumberFormat="1" applyFont="1" applyAlignment="1">
      <alignment vertical="center"/>
    </xf>
    <xf numFmtId="179" fontId="13" fillId="0" borderId="0" xfId="1" applyNumberFormat="1" applyFont="1" applyAlignment="1">
      <alignment horizontal="center" vertical="center" wrapText="1"/>
    </xf>
    <xf numFmtId="179" fontId="36" fillId="0" borderId="0" xfId="1" applyNumberFormat="1" applyFont="1" applyAlignment="1">
      <alignment horizontal="center" vertical="center" wrapText="1"/>
    </xf>
    <xf numFmtId="179" fontId="31" fillId="0" borderId="0" xfId="1" applyNumberFormat="1" applyFont="1" applyAlignment="1">
      <alignment horizontal="center" wrapText="1"/>
    </xf>
    <xf numFmtId="179" fontId="18" fillId="0" borderId="1" xfId="1" applyNumberFormat="1" applyFont="1" applyBorder="1" applyAlignment="1">
      <alignment horizontal="center" vertical="center" wrapText="1"/>
    </xf>
    <xf numFmtId="181" fontId="18" fillId="0" borderId="1" xfId="1" applyNumberFormat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2" fontId="9" fillId="0" borderId="1" xfId="1" applyNumberFormat="1" applyFont="1" applyBorder="1" applyAlignment="1">
      <alignment vertical="center"/>
    </xf>
    <xf numFmtId="179" fontId="26" fillId="0" borderId="1" xfId="1" applyNumberFormat="1" applyFont="1" applyBorder="1" applyAlignment="1">
      <alignment horizontal="left" vertical="center" wrapText="1"/>
    </xf>
    <xf numFmtId="0" fontId="52" fillId="0" borderId="1" xfId="1" applyFont="1" applyBorder="1" applyAlignment="1">
      <alignment horizontal="right" vertical="center"/>
    </xf>
    <xf numFmtId="0" fontId="51" fillId="0" borderId="1" xfId="1" applyFont="1" applyBorder="1" applyAlignment="1">
      <alignment horizontal="left" vertical="center"/>
    </xf>
    <xf numFmtId="0" fontId="8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179" fontId="3" fillId="0" borderId="0" xfId="1" applyNumberFormat="1" applyFont="1" applyAlignment="1">
      <alignment horizontal="center" vertical="center"/>
    </xf>
    <xf numFmtId="179" fontId="5" fillId="0" borderId="0" xfId="1" applyNumberFormat="1" applyFont="1" applyAlignment="1">
      <alignment horizontal="center" vertical="center" wrapText="1"/>
    </xf>
    <xf numFmtId="0" fontId="9" fillId="0" borderId="1" xfId="1" applyFont="1" applyBorder="1" applyAlignment="1">
      <alignment horizontal="justify" vertical="center" wrapText="1"/>
    </xf>
    <xf numFmtId="178" fontId="17" fillId="0" borderId="1" xfId="1" applyNumberFormat="1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 wrapText="1"/>
    </xf>
    <xf numFmtId="49" fontId="21" fillId="0" borderId="1" xfId="2" applyNumberFormat="1" applyFont="1" applyBorder="1" applyAlignment="1">
      <alignment horizontal="center" vertical="center" wrapText="1"/>
    </xf>
    <xf numFmtId="0" fontId="18" fillId="0" borderId="0" xfId="1" applyFont="1"/>
    <xf numFmtId="178" fontId="18" fillId="0" borderId="0" xfId="1" applyNumberFormat="1" applyFont="1" applyAlignment="1">
      <alignment horizontal="left"/>
    </xf>
    <xf numFmtId="178" fontId="18" fillId="0" borderId="0" xfId="1" applyNumberFormat="1" applyFont="1" applyAlignment="1">
      <alignment horizontal="center" wrapText="1"/>
    </xf>
    <xf numFmtId="178" fontId="18" fillId="0" borderId="0" xfId="1" applyNumberFormat="1" applyFont="1" applyAlignment="1">
      <alignment horizontal="right"/>
    </xf>
    <xf numFmtId="0" fontId="26" fillId="0" borderId="0" xfId="1" applyFont="1" applyAlignment="1">
      <alignment vertical="center"/>
    </xf>
    <xf numFmtId="178" fontId="26" fillId="0" borderId="0" xfId="1" applyNumberFormat="1" applyFont="1" applyAlignment="1">
      <alignment horizontal="right" vertical="center"/>
    </xf>
    <xf numFmtId="178" fontId="26" fillId="0" borderId="0" xfId="1" applyNumberFormat="1" applyFont="1" applyAlignment="1">
      <alignment horizontal="left" vertical="center"/>
    </xf>
    <xf numFmtId="178" fontId="73" fillId="0" borderId="0" xfId="1" applyNumberFormat="1" applyFont="1" applyAlignment="1">
      <alignment horizontal="center" vertical="center" wrapText="1"/>
    </xf>
    <xf numFmtId="178" fontId="74" fillId="0" borderId="0" xfId="1" applyNumberFormat="1" applyFont="1" applyAlignment="1">
      <alignment horizontal="center" vertical="center" wrapText="1"/>
    </xf>
    <xf numFmtId="180" fontId="71" fillId="0" borderId="1" xfId="1" applyNumberFormat="1" applyFont="1" applyBorder="1" applyAlignment="1">
      <alignment horizontal="center" vertical="center" wrapText="1"/>
    </xf>
    <xf numFmtId="178" fontId="76" fillId="0" borderId="0" xfId="1" applyNumberFormat="1" applyFont="1" applyAlignment="1">
      <alignment horizontal="center" vertical="center" wrapText="1"/>
    </xf>
    <xf numFmtId="178" fontId="77" fillId="0" borderId="0" xfId="1" applyNumberFormat="1" applyFont="1" applyAlignment="1">
      <alignment vertical="center"/>
    </xf>
    <xf numFmtId="179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46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/>
    </xf>
    <xf numFmtId="179" fontId="17" fillId="0" borderId="1" xfId="0" applyNumberFormat="1" applyFont="1" applyBorder="1" applyAlignment="1">
      <alignment horizontal="center" vertical="center"/>
    </xf>
    <xf numFmtId="189" fontId="17" fillId="0" borderId="1" xfId="0" applyNumberFormat="1" applyFont="1" applyBorder="1" applyAlignment="1">
      <alignment horizontal="center" vertical="center"/>
    </xf>
    <xf numFmtId="179" fontId="14" fillId="0" borderId="0" xfId="1" applyNumberFormat="1" applyFont="1" applyAlignment="1">
      <alignment horizontal="left" vertical="center" wrapText="1"/>
    </xf>
    <xf numFmtId="179" fontId="23" fillId="0" borderId="0" xfId="1" applyNumberFormat="1" applyFont="1" applyAlignment="1">
      <alignment vertical="center" wrapText="1"/>
    </xf>
    <xf numFmtId="179" fontId="18" fillId="0" borderId="0" xfId="1" applyNumberFormat="1" applyFont="1"/>
    <xf numFmtId="179" fontId="18" fillId="0" borderId="0" xfId="1" applyNumberFormat="1" applyFont="1" applyAlignment="1">
      <alignment wrapText="1"/>
    </xf>
    <xf numFmtId="179" fontId="18" fillId="0" borderId="0" xfId="1" applyNumberFormat="1" applyFont="1" applyAlignment="1">
      <alignment horizontal="center" wrapText="1"/>
    </xf>
    <xf numFmtId="179" fontId="18" fillId="0" borderId="0" xfId="1" applyNumberFormat="1" applyFont="1" applyAlignment="1">
      <alignment horizontal="left"/>
    </xf>
    <xf numFmtId="179" fontId="18" fillId="0" borderId="0" xfId="1" applyNumberFormat="1" applyFont="1" applyAlignment="1">
      <alignment horizontal="center"/>
    </xf>
    <xf numFmtId="179" fontId="18" fillId="0" borderId="0" xfId="1" applyNumberFormat="1" applyFont="1" applyAlignment="1">
      <alignment horizontal="right"/>
    </xf>
    <xf numFmtId="179" fontId="17" fillId="0" borderId="0" xfId="1" applyNumberFormat="1" applyFont="1" applyAlignment="1">
      <alignment horizontal="center" vertical="center" wrapText="1"/>
    </xf>
    <xf numFmtId="179" fontId="4" fillId="0" borderId="0" xfId="1" applyNumberFormat="1" applyFont="1" applyAlignment="1">
      <alignment horizontal="center" vertical="center" wrapText="1"/>
    </xf>
    <xf numFmtId="179" fontId="26" fillId="0" borderId="0" xfId="1" applyNumberFormat="1" applyFont="1" applyAlignment="1">
      <alignment vertical="center"/>
    </xf>
    <xf numFmtId="185" fontId="13" fillId="0" borderId="0" xfId="1" applyNumberFormat="1" applyFont="1" applyAlignment="1">
      <alignment horizontal="center" vertical="center" wrapText="1"/>
    </xf>
    <xf numFmtId="178" fontId="26" fillId="0" borderId="1" xfId="1" applyNumberFormat="1" applyFont="1" applyBorder="1" applyAlignment="1">
      <alignment horizontal="left" vertical="center" wrapText="1" indent="1"/>
    </xf>
    <xf numFmtId="178" fontId="71" fillId="0" borderId="1" xfId="1" applyNumberFormat="1" applyFont="1" applyBorder="1" applyAlignment="1">
      <alignment horizontal="center" vertical="center" wrapText="1"/>
    </xf>
    <xf numFmtId="178" fontId="78" fillId="0" borderId="0" xfId="1" applyNumberFormat="1" applyFont="1" applyAlignment="1">
      <alignment horizontal="center" vertical="center" wrapText="1"/>
    </xf>
    <xf numFmtId="0" fontId="68" fillId="0" borderId="0" xfId="0" applyFont="1" applyAlignment="1">
      <alignment vertical="center"/>
    </xf>
    <xf numFmtId="0" fontId="60" fillId="0" borderId="0" xfId="1" applyFont="1" applyAlignment="1">
      <alignment vertical="center"/>
    </xf>
    <xf numFmtId="0" fontId="60" fillId="0" borderId="0" xfId="1" applyFont="1" applyAlignment="1">
      <alignment horizontal="justify" vertical="center" wrapText="1"/>
    </xf>
    <xf numFmtId="0" fontId="68" fillId="0" borderId="0" xfId="0" applyFont="1" applyAlignment="1">
      <alignment horizontal="left" vertical="center"/>
    </xf>
    <xf numFmtId="0" fontId="68" fillId="0" borderId="0" xfId="0" applyFont="1" applyAlignment="1">
      <alignment horizontal="right" vertical="center"/>
    </xf>
    <xf numFmtId="0" fontId="68" fillId="0" borderId="0" xfId="0" applyFont="1" applyAlignment="1">
      <alignment horizontal="center" vertical="center"/>
    </xf>
    <xf numFmtId="0" fontId="80" fillId="0" borderId="0" xfId="0" applyFont="1" applyAlignment="1">
      <alignment vertical="center"/>
    </xf>
    <xf numFmtId="0" fontId="81" fillId="0" borderId="0" xfId="0" applyFont="1" applyAlignment="1">
      <alignment vertical="center"/>
    </xf>
    <xf numFmtId="0" fontId="82" fillId="0" borderId="0" xfId="1" applyFont="1" applyAlignment="1">
      <alignment vertical="center"/>
    </xf>
    <xf numFmtId="0" fontId="79" fillId="0" borderId="0" xfId="0" applyFont="1"/>
    <xf numFmtId="0" fontId="82" fillId="0" borderId="0" xfId="1" applyFont="1" applyAlignment="1">
      <alignment horizontal="justify" vertical="center" wrapText="1"/>
    </xf>
    <xf numFmtId="0" fontId="80" fillId="0" borderId="0" xfId="0" applyFont="1" applyAlignment="1">
      <alignment horizontal="left" vertical="center"/>
    </xf>
    <xf numFmtId="0" fontId="80" fillId="0" borderId="0" xfId="0" applyFont="1" applyAlignment="1">
      <alignment horizontal="right" vertical="center"/>
    </xf>
    <xf numFmtId="0" fontId="80" fillId="0" borderId="0" xfId="0" applyFont="1" applyAlignment="1">
      <alignment horizontal="center" vertical="center"/>
    </xf>
    <xf numFmtId="179" fontId="67" fillId="0" borderId="0" xfId="0" applyNumberFormat="1" applyFont="1"/>
    <xf numFmtId="179" fontId="60" fillId="0" borderId="0" xfId="1" applyNumberFormat="1" applyFont="1" applyAlignment="1">
      <alignment vertical="center"/>
    </xf>
    <xf numFmtId="0" fontId="44" fillId="0" borderId="0" xfId="1" applyFont="1" applyAlignment="1">
      <alignment vertical="center"/>
    </xf>
    <xf numFmtId="179" fontId="83" fillId="0" borderId="0" xfId="0" applyNumberFormat="1" applyFont="1"/>
    <xf numFmtId="0" fontId="44" fillId="0" borderId="0" xfId="1" applyFont="1" applyAlignment="1">
      <alignment horizontal="center" vertical="center"/>
    </xf>
    <xf numFmtId="0" fontId="84" fillId="0" borderId="0" xfId="1" applyFont="1" applyAlignment="1">
      <alignment horizontal="center" vertical="center"/>
    </xf>
    <xf numFmtId="179" fontId="60" fillId="0" borderId="0" xfId="1" applyNumberFormat="1" applyFont="1" applyAlignment="1">
      <alignment horizontal="center" vertical="center"/>
    </xf>
    <xf numFmtId="0" fontId="85" fillId="0" borderId="0" xfId="1" applyFont="1" applyAlignment="1">
      <alignment horizontal="center" vertical="center"/>
    </xf>
    <xf numFmtId="58" fontId="60" fillId="0" borderId="0" xfId="1" applyNumberFormat="1" applyFont="1" applyAlignment="1">
      <alignment horizontal="center" vertical="center"/>
    </xf>
    <xf numFmtId="0" fontId="86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27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49" fontId="39" fillId="0" borderId="1" xfId="2" applyNumberFormat="1" applyFont="1" applyBorder="1" applyAlignment="1">
      <alignment horizontal="center" vertical="center" wrapText="1"/>
    </xf>
    <xf numFmtId="181" fontId="17" fillId="0" borderId="1" xfId="0" applyNumberFormat="1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88" fillId="0" borderId="0" xfId="0" applyFont="1" applyAlignment="1">
      <alignment vertical="center"/>
    </xf>
    <xf numFmtId="0" fontId="89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178" fontId="72" fillId="0" borderId="1" xfId="1" applyNumberFormat="1" applyFont="1" applyBorder="1" applyAlignment="1">
      <alignment horizontal="left" vertical="center" wrapText="1" indent="1"/>
    </xf>
    <xf numFmtId="0" fontId="26" fillId="0" borderId="1" xfId="1" applyFont="1" applyBorder="1" applyAlignment="1">
      <alignment horizontal="left" vertical="center"/>
    </xf>
    <xf numFmtId="0" fontId="50" fillId="0" borderId="1" xfId="1" applyFont="1" applyBorder="1" applyAlignment="1">
      <alignment horizontal="left" vertical="center"/>
    </xf>
    <xf numFmtId="0" fontId="90" fillId="0" borderId="0" xfId="1" applyFont="1" applyAlignment="1">
      <alignment horizontal="center" vertical="center"/>
    </xf>
    <xf numFmtId="184" fontId="90" fillId="0" borderId="0" xfId="1" applyNumberFormat="1" applyFont="1" applyAlignment="1">
      <alignment horizontal="center" vertical="center"/>
    </xf>
    <xf numFmtId="0" fontId="91" fillId="0" borderId="0" xfId="1" applyFont="1" applyAlignment="1">
      <alignment horizontal="center" vertical="center"/>
    </xf>
    <xf numFmtId="179" fontId="86" fillId="0" borderId="0" xfId="9" applyNumberFormat="1" applyFont="1" applyFill="1" applyBorder="1" applyAlignment="1">
      <alignment vertical="center"/>
    </xf>
    <xf numFmtId="0" fontId="50" fillId="0" borderId="1" xfId="1" applyFont="1" applyBorder="1" applyAlignment="1">
      <alignment horizontal="right" vertical="center"/>
    </xf>
    <xf numFmtId="49" fontId="21" fillId="0" borderId="1" xfId="2" applyNumberFormat="1" applyFont="1" applyBorder="1" applyAlignment="1">
      <alignment horizontal="right" vertical="center" wrapText="1"/>
    </xf>
    <xf numFmtId="0" fontId="92" fillId="0" borderId="1" xfId="2" applyFont="1" applyBorder="1" applyAlignment="1">
      <alignment vertical="center"/>
    </xf>
    <xf numFmtId="179" fontId="9" fillId="0" borderId="1" xfId="1" applyNumberFormat="1" applyFont="1" applyBorder="1" applyAlignment="1">
      <alignment horizontal="left" vertical="center" wrapText="1"/>
    </xf>
    <xf numFmtId="179" fontId="41" fillId="0" borderId="1" xfId="1" applyNumberFormat="1" applyFont="1" applyBorder="1" applyAlignment="1">
      <alignment horizontal="center" vertical="center"/>
    </xf>
    <xf numFmtId="179" fontId="41" fillId="0" borderId="1" xfId="1" applyNumberFormat="1" applyFont="1" applyBorder="1" applyAlignment="1">
      <alignment horizontal="center" vertical="center" wrapText="1"/>
    </xf>
    <xf numFmtId="0" fontId="53" fillId="0" borderId="1" xfId="1" applyFont="1" applyBorder="1" applyAlignment="1">
      <alignment vertical="center"/>
    </xf>
    <xf numFmtId="0" fontId="15" fillId="0" borderId="0" xfId="1" applyFont="1" applyAlignment="1">
      <alignment horizontal="center" vertical="center"/>
    </xf>
    <xf numFmtId="2" fontId="15" fillId="0" borderId="0" xfId="1" applyNumberFormat="1" applyFont="1" applyAlignment="1">
      <alignment horizontal="center" vertical="center"/>
    </xf>
    <xf numFmtId="178" fontId="15" fillId="0" borderId="0" xfId="1" applyNumberFormat="1" applyFont="1" applyAlignment="1">
      <alignment horizontal="center" vertical="center"/>
    </xf>
    <xf numFmtId="2" fontId="53" fillId="0" borderId="1" xfId="1" applyNumberFormat="1" applyFont="1" applyBorder="1" applyAlignment="1">
      <alignment vertical="center"/>
    </xf>
    <xf numFmtId="2" fontId="9" fillId="0" borderId="1" xfId="1" applyNumberFormat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vertical="center" wrapText="1"/>
    </xf>
    <xf numFmtId="0" fontId="17" fillId="0" borderId="1" xfId="1" applyFont="1" applyBorder="1" applyAlignment="1">
      <alignment horizontal="center" vertical="center"/>
    </xf>
    <xf numFmtId="0" fontId="46" fillId="0" borderId="1" xfId="1" applyFont="1" applyBorder="1" applyAlignment="1">
      <alignment vertical="center"/>
    </xf>
    <xf numFmtId="0" fontId="93" fillId="0" borderId="1" xfId="1" applyFont="1" applyBorder="1" applyAlignment="1">
      <alignment horizontal="center" vertical="center"/>
    </xf>
    <xf numFmtId="2" fontId="38" fillId="0" borderId="1" xfId="1" applyNumberFormat="1" applyFont="1" applyBorder="1" applyAlignment="1">
      <alignment vertical="center"/>
    </xf>
    <xf numFmtId="179" fontId="39" fillId="0" borderId="1" xfId="1" applyNumberFormat="1" applyFont="1" applyBorder="1" applyAlignment="1">
      <alignment horizontal="center" vertical="center"/>
    </xf>
    <xf numFmtId="0" fontId="39" fillId="0" borderId="1" xfId="1" applyFont="1" applyBorder="1" applyAlignment="1">
      <alignment horizontal="center" vertical="center"/>
    </xf>
    <xf numFmtId="180" fontId="39" fillId="0" borderId="1" xfId="1" applyNumberFormat="1" applyFont="1" applyBorder="1" applyAlignment="1">
      <alignment horizontal="center" vertical="center" wrapText="1"/>
    </xf>
    <xf numFmtId="2" fontId="93" fillId="0" borderId="1" xfId="1" applyNumberFormat="1" applyFont="1" applyBorder="1" applyAlignment="1">
      <alignment vertical="center"/>
    </xf>
    <xf numFmtId="0" fontId="38" fillId="0" borderId="1" xfId="1" applyFont="1" applyBorder="1" applyAlignment="1">
      <alignment vertical="center"/>
    </xf>
    <xf numFmtId="179" fontId="39" fillId="0" borderId="1" xfId="1" applyNumberFormat="1" applyFont="1" applyBorder="1" applyAlignment="1">
      <alignment horizontal="center" vertical="center" wrapText="1"/>
    </xf>
    <xf numFmtId="178" fontId="39" fillId="0" borderId="1" xfId="1" applyNumberFormat="1" applyFont="1" applyBorder="1" applyAlignment="1">
      <alignment horizontal="center" vertical="center" wrapText="1"/>
    </xf>
    <xf numFmtId="2" fontId="78" fillId="0" borderId="0" xfId="1" applyNumberFormat="1" applyFont="1" applyAlignment="1">
      <alignment vertical="center"/>
    </xf>
    <xf numFmtId="0" fontId="78" fillId="0" borderId="0" xfId="1" applyFont="1" applyAlignment="1">
      <alignment vertical="center"/>
    </xf>
    <xf numFmtId="0" fontId="92" fillId="0" borderId="1" xfId="1" applyFont="1" applyBorder="1" applyAlignment="1">
      <alignment vertical="center"/>
    </xf>
    <xf numFmtId="0" fontId="17" fillId="0" borderId="0" xfId="1" applyFont="1"/>
    <xf numFmtId="0" fontId="17" fillId="0" borderId="0" xfId="1" applyFont="1" applyAlignment="1">
      <alignment horizontal="center"/>
    </xf>
    <xf numFmtId="0" fontId="17" fillId="0" borderId="0" xfId="1" applyFont="1" applyAlignment="1">
      <alignment horizontal="right"/>
    </xf>
    <xf numFmtId="179" fontId="26" fillId="0" borderId="1" xfId="1" applyNumberFormat="1" applyFont="1" applyBorder="1" applyAlignment="1">
      <alignment horizontal="center" vertical="center"/>
    </xf>
    <xf numFmtId="0" fontId="94" fillId="0" borderId="0" xfId="1" applyFont="1" applyAlignment="1">
      <alignment horizontal="center" vertical="center"/>
    </xf>
    <xf numFmtId="0" fontId="95" fillId="0" borderId="0" xfId="1" applyFont="1" applyAlignment="1">
      <alignment horizontal="center" vertical="center"/>
    </xf>
    <xf numFmtId="179" fontId="81" fillId="0" borderId="0" xfId="1" applyNumberFormat="1" applyFont="1" applyAlignment="1">
      <alignment horizontal="center" vertical="center"/>
    </xf>
    <xf numFmtId="179" fontId="96" fillId="0" borderId="0" xfId="1" applyNumberFormat="1" applyFont="1" applyAlignment="1">
      <alignment horizontal="center" vertical="center"/>
    </xf>
    <xf numFmtId="0" fontId="96" fillId="0" borderId="0" xfId="1" applyFont="1" applyAlignment="1">
      <alignment horizontal="center" vertical="center"/>
    </xf>
    <xf numFmtId="178" fontId="96" fillId="0" borderId="0" xfId="1" applyNumberFormat="1" applyFont="1" applyAlignment="1">
      <alignment horizontal="center" vertical="center"/>
    </xf>
    <xf numFmtId="179" fontId="97" fillId="0" borderId="0" xfId="1" applyNumberFormat="1" applyFont="1" applyAlignment="1">
      <alignment horizontal="center" vertical="top"/>
    </xf>
    <xf numFmtId="0" fontId="97" fillId="0" borderId="0" xfId="1" applyFont="1" applyAlignment="1">
      <alignment horizontal="center" vertical="top"/>
    </xf>
    <xf numFmtId="0" fontId="94" fillId="0" borderId="0" xfId="1" applyFont="1" applyAlignment="1">
      <alignment horizontal="right" vertical="center"/>
    </xf>
    <xf numFmtId="0" fontId="98" fillId="0" borderId="0" xfId="1" applyFont="1" applyAlignment="1">
      <alignment horizontal="right" vertical="center"/>
    </xf>
    <xf numFmtId="184" fontId="96" fillId="0" borderId="0" xfId="1" applyNumberFormat="1" applyFont="1" applyAlignment="1">
      <alignment horizontal="center" vertical="center"/>
    </xf>
    <xf numFmtId="179" fontId="97" fillId="0" borderId="0" xfId="1" applyNumberFormat="1" applyFont="1" applyAlignment="1">
      <alignment horizontal="center"/>
    </xf>
    <xf numFmtId="0" fontId="97" fillId="0" borderId="0" xfId="1" applyFont="1" applyAlignment="1">
      <alignment horizontal="center"/>
    </xf>
    <xf numFmtId="0" fontId="96" fillId="0" borderId="0" xfId="1" applyFont="1" applyAlignment="1">
      <alignment horizontal="right" vertical="center"/>
    </xf>
    <xf numFmtId="0" fontId="99" fillId="0" borderId="0" xfId="0" applyFont="1" applyAlignment="1">
      <alignment vertical="center"/>
    </xf>
    <xf numFmtId="0" fontId="26" fillId="0" borderId="0" xfId="0" applyFont="1"/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68" fillId="0" borderId="0" xfId="0" applyFont="1"/>
    <xf numFmtId="0" fontId="49" fillId="0" borderId="2" xfId="0" applyFont="1" applyBorder="1" applyAlignment="1">
      <alignment horizontal="center" vertical="center" wrapText="1"/>
    </xf>
    <xf numFmtId="9" fontId="17" fillId="0" borderId="1" xfId="0" applyNumberFormat="1" applyFont="1" applyBorder="1" applyAlignment="1">
      <alignment horizontal="center" vertical="center"/>
    </xf>
    <xf numFmtId="0" fontId="8" fillId="0" borderId="0" xfId="1" applyFont="1" applyAlignment="1">
      <alignment vertical="top"/>
    </xf>
    <xf numFmtId="0" fontId="3" fillId="0" borderId="0" xfId="1" applyFont="1" applyAlignment="1">
      <alignment vertical="top"/>
    </xf>
    <xf numFmtId="0" fontId="3" fillId="0" borderId="0" xfId="1" applyFont="1" applyAlignment="1">
      <alignment horizontal="left" vertical="top"/>
    </xf>
    <xf numFmtId="0" fontId="3" fillId="0" borderId="0" xfId="1" applyFont="1" applyAlignment="1">
      <alignment horizontal="center" vertical="top"/>
    </xf>
    <xf numFmtId="0" fontId="3" fillId="0" borderId="0" xfId="1" applyFont="1" applyAlignment="1">
      <alignment horizontal="right" vertical="top"/>
    </xf>
    <xf numFmtId="179" fontId="3" fillId="0" borderId="0" xfId="1" applyNumberFormat="1" applyFont="1" applyAlignment="1">
      <alignment horizontal="center" vertical="top"/>
    </xf>
    <xf numFmtId="179" fontId="51" fillId="0" borderId="0" xfId="1" applyNumberFormat="1" applyFont="1" applyAlignment="1">
      <alignment horizontal="center" vertical="top"/>
    </xf>
    <xf numFmtId="178" fontId="74" fillId="3" borderId="0" xfId="1" applyNumberFormat="1" applyFont="1" applyFill="1" applyAlignment="1">
      <alignment horizontal="center" vertical="center" wrapText="1"/>
    </xf>
    <xf numFmtId="0" fontId="10" fillId="0" borderId="0" xfId="1" applyFont="1" applyAlignment="1">
      <alignment horizontal="left" vertical="top"/>
    </xf>
    <xf numFmtId="0" fontId="10" fillId="0" borderId="0" xfId="1" applyFont="1" applyAlignment="1">
      <alignment vertical="top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horizontal="right" vertical="top"/>
    </xf>
    <xf numFmtId="179" fontId="68" fillId="0" borderId="0" xfId="0" applyNumberFormat="1" applyFont="1" applyAlignment="1">
      <alignment vertical="center"/>
    </xf>
    <xf numFmtId="188" fontId="18" fillId="0" borderId="0" xfId="1" applyNumberFormat="1" applyFont="1" applyAlignment="1">
      <alignment vertical="center"/>
    </xf>
    <xf numFmtId="2" fontId="101" fillId="0" borderId="1" xfId="1" applyNumberFormat="1" applyFont="1" applyBorder="1" applyAlignment="1">
      <alignment vertical="center"/>
    </xf>
    <xf numFmtId="9" fontId="18" fillId="0" borderId="1" xfId="1" applyNumberFormat="1" applyFont="1" applyFill="1" applyBorder="1" applyAlignment="1">
      <alignment horizontal="center" vertical="center" wrapText="1"/>
    </xf>
    <xf numFmtId="178" fontId="74" fillId="0" borderId="0" xfId="1" applyNumberFormat="1" applyFont="1" applyFill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178" fontId="22" fillId="0" borderId="0" xfId="1" applyNumberFormat="1" applyFont="1" applyAlignment="1">
      <alignment horizontal="left" vertical="center" wrapText="1"/>
    </xf>
    <xf numFmtId="178" fontId="23" fillId="0" borderId="0" xfId="1" applyNumberFormat="1" applyFont="1" applyAlignment="1">
      <alignment horizontal="left" vertical="center" wrapText="1"/>
    </xf>
    <xf numFmtId="0" fontId="21" fillId="0" borderId="1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8" fontId="17" fillId="0" borderId="2" xfId="1" applyNumberFormat="1" applyFont="1" applyBorder="1" applyAlignment="1">
      <alignment horizontal="center" vertical="center"/>
    </xf>
    <xf numFmtId="178" fontId="17" fillId="0" borderId="6" xfId="1" applyNumberFormat="1" applyFont="1" applyBorder="1" applyAlignment="1">
      <alignment horizontal="center" vertical="center"/>
    </xf>
    <xf numFmtId="178" fontId="17" fillId="0" borderId="7" xfId="1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textRotation="255"/>
    </xf>
    <xf numFmtId="0" fontId="10" fillId="0" borderId="1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7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70" fillId="0" borderId="3" xfId="0" applyFont="1" applyBorder="1" applyAlignment="1">
      <alignment horizontal="center" vertical="center" wrapText="1"/>
    </xf>
    <xf numFmtId="0" fontId="70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6" fillId="0" borderId="3" xfId="0" applyFont="1" applyBorder="1" applyAlignment="1">
      <alignment horizontal="center" vertical="center" textRotation="255" wrapText="1"/>
    </xf>
    <xf numFmtId="0" fontId="46" fillId="0" borderId="5" xfId="0" applyFont="1" applyBorder="1" applyAlignment="1">
      <alignment horizontal="center" vertical="center" textRotation="255" wrapText="1"/>
    </xf>
    <xf numFmtId="0" fontId="46" fillId="0" borderId="1" xfId="0" applyFont="1" applyBorder="1" applyAlignment="1">
      <alignment horizontal="center" vertical="center" textRotation="255" wrapText="1"/>
    </xf>
    <xf numFmtId="0" fontId="17" fillId="0" borderId="1" xfId="0" applyFont="1" applyBorder="1" applyAlignment="1">
      <alignment horizontal="center" vertical="center"/>
    </xf>
    <xf numFmtId="178" fontId="18" fillId="0" borderId="1" xfId="1" applyNumberFormat="1" applyFont="1" applyBorder="1" applyAlignment="1">
      <alignment horizontal="center" vertical="center" wrapText="1"/>
    </xf>
    <xf numFmtId="178" fontId="77" fillId="0" borderId="0" xfId="1" applyNumberFormat="1" applyFont="1" applyAlignment="1">
      <alignment horizontal="left" vertical="center"/>
    </xf>
    <xf numFmtId="178" fontId="77" fillId="0" borderId="0" xfId="1" applyNumberFormat="1" applyFont="1" applyAlignment="1">
      <alignment horizontal="right" vertical="center" wrapText="1"/>
    </xf>
    <xf numFmtId="0" fontId="10" fillId="0" borderId="3" xfId="1" applyFont="1" applyBorder="1" applyAlignment="1">
      <alignment horizontal="justify" vertical="top" wrapText="1"/>
    </xf>
    <xf numFmtId="0" fontId="17" fillId="0" borderId="4" xfId="1" applyFont="1" applyBorder="1" applyAlignment="1">
      <alignment horizontal="justify" vertical="top" wrapText="1"/>
    </xf>
    <xf numFmtId="0" fontId="17" fillId="0" borderId="5" xfId="1" applyFont="1" applyBorder="1" applyAlignment="1">
      <alignment horizontal="justify" vertical="top" wrapText="1"/>
    </xf>
    <xf numFmtId="0" fontId="50" fillId="0" borderId="1" xfId="1" applyFont="1" applyBorder="1" applyAlignment="1">
      <alignment horizontal="center" vertical="center"/>
    </xf>
    <xf numFmtId="0" fontId="51" fillId="0" borderId="1" xfId="0" applyFont="1" applyBorder="1" applyAlignment="1">
      <alignment vertical="center"/>
    </xf>
    <xf numFmtId="0" fontId="52" fillId="0" borderId="1" xfId="1" applyFont="1" applyBorder="1" applyAlignment="1">
      <alignment horizontal="center" vertical="center" wrapText="1"/>
    </xf>
    <xf numFmtId="0" fontId="22" fillId="0" borderId="0" xfId="1" applyFont="1" applyAlignment="1">
      <alignment vertical="center"/>
    </xf>
    <xf numFmtId="184" fontId="26" fillId="0" borderId="1" xfId="1" applyNumberFormat="1" applyFont="1" applyBorder="1" applyAlignment="1">
      <alignment horizontal="center" vertical="center" wrapText="1"/>
    </xf>
    <xf numFmtId="184" fontId="50" fillId="0" borderId="1" xfId="1" applyNumberFormat="1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/>
    </xf>
    <xf numFmtId="0" fontId="53" fillId="0" borderId="3" xfId="2" applyFont="1" applyBorder="1" applyAlignment="1">
      <alignment horizontal="center" vertical="center" textRotation="255"/>
    </xf>
    <xf numFmtId="0" fontId="53" fillId="0" borderId="4" xfId="2" applyFont="1" applyBorder="1" applyAlignment="1">
      <alignment horizontal="center" vertical="center" textRotation="255"/>
    </xf>
    <xf numFmtId="0" fontId="53" fillId="0" borderId="5" xfId="2" applyFont="1" applyBorder="1" applyAlignment="1">
      <alignment horizontal="center" vertical="center" textRotation="255"/>
    </xf>
    <xf numFmtId="49" fontId="39" fillId="0" borderId="1" xfId="2" applyNumberFormat="1" applyFont="1" applyBorder="1" applyAlignment="1">
      <alignment horizontal="center" vertical="center" wrapText="1"/>
    </xf>
    <xf numFmtId="0" fontId="53" fillId="0" borderId="1" xfId="2" applyFont="1" applyBorder="1" applyAlignment="1">
      <alignment horizontal="center" vertical="center" textRotation="255"/>
    </xf>
    <xf numFmtId="0" fontId="21" fillId="0" borderId="1" xfId="2" applyFont="1" applyBorder="1" applyAlignment="1">
      <alignment horizontal="center" vertical="center" textRotation="255"/>
    </xf>
    <xf numFmtId="49" fontId="21" fillId="0" borderId="1" xfId="2" applyNumberFormat="1" applyFont="1" applyBorder="1" applyAlignment="1">
      <alignment horizontal="center" vertical="center" wrapText="1"/>
    </xf>
    <xf numFmtId="179" fontId="7" fillId="0" borderId="0" xfId="1" applyNumberFormat="1" applyFont="1" applyAlignment="1">
      <alignment horizontal="left" vertical="center" wrapText="1"/>
    </xf>
    <xf numFmtId="179" fontId="14" fillId="0" borderId="0" xfId="1" applyNumberFormat="1" applyFont="1" applyAlignment="1">
      <alignment horizontal="left" vertical="center" wrapText="1"/>
    </xf>
    <xf numFmtId="179" fontId="13" fillId="0" borderId="0" xfId="1" applyNumberFormat="1" applyFont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178" fontId="25" fillId="0" borderId="0" xfId="1" applyNumberFormat="1" applyFont="1" applyAlignment="1">
      <alignment horizontal="left" vertical="center" wrapText="1"/>
    </xf>
    <xf numFmtId="0" fontId="18" fillId="0" borderId="1" xfId="1" applyFont="1" applyBorder="1" applyAlignment="1">
      <alignment horizontal="center" vertical="center" wrapText="1"/>
    </xf>
    <xf numFmtId="0" fontId="62" fillId="0" borderId="0" xfId="0" applyFont="1" applyAlignment="1">
      <alignment horizontal="center" vertical="center"/>
    </xf>
    <xf numFmtId="0" fontId="66" fillId="0" borderId="8" xfId="0" applyFont="1" applyBorder="1" applyAlignment="1">
      <alignment horizontal="left" vertical="center" wrapText="1"/>
    </xf>
    <xf numFmtId="0" fontId="51" fillId="0" borderId="8" xfId="0" applyFont="1" applyBorder="1" applyAlignment="1">
      <alignment horizontal="left" vertical="center" wrapText="1"/>
    </xf>
    <xf numFmtId="0" fontId="102" fillId="0" borderId="9" xfId="0" applyFont="1" applyBorder="1" applyAlignment="1">
      <alignment horizontal="center" wrapText="1"/>
    </xf>
    <xf numFmtId="0" fontId="102" fillId="0" borderId="9" xfId="0" applyFont="1" applyBorder="1" applyAlignment="1">
      <alignment horizontal="center"/>
    </xf>
    <xf numFmtId="0" fontId="103" fillId="0" borderId="1" xfId="0" applyFont="1" applyBorder="1" applyAlignment="1">
      <alignment horizontal="right" vertical="center"/>
    </xf>
    <xf numFmtId="0" fontId="103" fillId="0" borderId="1" xfId="1" applyFont="1" applyBorder="1" applyAlignment="1">
      <alignment horizontal="center" vertical="center"/>
    </xf>
    <xf numFmtId="0" fontId="82" fillId="0" borderId="0" xfId="1" applyFont="1" applyAlignment="1">
      <alignment horizontal="center" vertical="center"/>
    </xf>
    <xf numFmtId="0" fontId="79" fillId="0" borderId="0" xfId="0" applyFont="1" applyAlignment="1">
      <alignment horizontal="right" vertical="center"/>
    </xf>
    <xf numFmtId="2" fontId="103" fillId="0" borderId="1" xfId="1" applyNumberFormat="1" applyFont="1" applyBorder="1" applyAlignment="1">
      <alignment horizontal="center" vertical="center"/>
    </xf>
    <xf numFmtId="178" fontId="103" fillId="0" borderId="1" xfId="1" applyNumberFormat="1" applyFont="1" applyBorder="1" applyAlignment="1">
      <alignment horizontal="center" vertical="center"/>
    </xf>
    <xf numFmtId="186" fontId="103" fillId="0" borderId="1" xfId="1" applyNumberFormat="1" applyFont="1" applyBorder="1" applyAlignment="1">
      <alignment horizontal="center" vertical="center"/>
    </xf>
    <xf numFmtId="179" fontId="82" fillId="0" borderId="0" xfId="1" applyNumberFormat="1" applyFont="1" applyAlignment="1">
      <alignment horizontal="center" vertical="center"/>
    </xf>
    <xf numFmtId="185" fontId="104" fillId="0" borderId="0" xfId="9" applyNumberFormat="1" applyFont="1" applyAlignment="1"/>
    <xf numFmtId="0" fontId="105" fillId="0" borderId="0" xfId="1" applyFont="1" applyAlignment="1">
      <alignment vertical="center"/>
    </xf>
    <xf numFmtId="0" fontId="79" fillId="0" borderId="0" xfId="0" applyFont="1" applyAlignment="1">
      <alignment horizontal="right"/>
    </xf>
    <xf numFmtId="0" fontId="82" fillId="0" borderId="0" xfId="1" applyFont="1" applyAlignment="1">
      <alignment horizontal="left" vertical="center"/>
    </xf>
  </cellXfs>
  <cellStyles count="10">
    <cellStyle name="0,0_x000d__x000a_NA_x000d__x000a_" xfId="1"/>
    <cellStyle name="百分比" xfId="9" builtinId="5"/>
    <cellStyle name="常规" xfId="0" builtinId="0"/>
    <cellStyle name="常规_2.  基建1.5a,季德钼矿采矿权 6-12" xfId="2"/>
    <cellStyle name="普通_laroux" xfId="3"/>
    <cellStyle name="千分位[0]_laroux" xfId="4"/>
    <cellStyle name="千分位_laroux" xfId="5"/>
    <cellStyle name="千位[0]_1995" xfId="6"/>
    <cellStyle name="千位_1995" xfId="7"/>
    <cellStyle name="千位分隔" xfId="8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39472</xdr:colOff>
      <xdr:row>0</xdr:row>
      <xdr:rowOff>143435</xdr:rowOff>
    </xdr:from>
    <xdr:to>
      <xdr:col>17</xdr:col>
      <xdr:colOff>29071</xdr:colOff>
      <xdr:row>21</xdr:row>
      <xdr:rowOff>23158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3C489762-054B-D964-8618-3096FDB31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69307" y="143435"/>
          <a:ext cx="7017929" cy="5303370"/>
        </a:xfrm>
        <a:prstGeom prst="rect">
          <a:avLst/>
        </a:prstGeom>
      </xdr:spPr>
    </xdr:pic>
    <xdr:clientData/>
  </xdr:twoCellAnchor>
  <xdr:twoCellAnchor>
    <xdr:from>
      <xdr:col>8</xdr:col>
      <xdr:colOff>53340</xdr:colOff>
      <xdr:row>9</xdr:row>
      <xdr:rowOff>21285</xdr:rowOff>
    </xdr:from>
    <xdr:to>
      <xdr:col>8</xdr:col>
      <xdr:colOff>251460</xdr:colOff>
      <xdr:row>16</xdr:row>
      <xdr:rowOff>188925</xdr:rowOff>
    </xdr:to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xmlns="" id="{335E228E-FD17-78FC-7430-BB5DDFCAF1BD}"/>
            </a:ext>
          </a:extLst>
        </xdr:cNvPr>
        <xdr:cNvSpPr/>
      </xdr:nvSpPr>
      <xdr:spPr>
        <a:xfrm>
          <a:off x="6380568" y="2296775"/>
          <a:ext cx="198120" cy="1933378"/>
        </a:xfrm>
        <a:prstGeom prst="rect">
          <a:avLst/>
        </a:prstGeom>
        <a:noFill/>
        <a:ln w="9525" cap="flat" cmpd="sng" algn="ctr">
          <a:solidFill>
            <a:schemeClr val="accent6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6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8</xdr:col>
      <xdr:colOff>441960</xdr:colOff>
      <xdr:row>9</xdr:row>
      <xdr:rowOff>21285</xdr:rowOff>
    </xdr:from>
    <xdr:to>
      <xdr:col>8</xdr:col>
      <xdr:colOff>640080</xdr:colOff>
      <xdr:row>16</xdr:row>
      <xdr:rowOff>188925</xdr:rowOff>
    </xdr:to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xmlns="" id="{ADA9AAEA-DEF4-4EE4-BCAA-2C668EFDD3B1}"/>
            </a:ext>
          </a:extLst>
        </xdr:cNvPr>
        <xdr:cNvSpPr/>
      </xdr:nvSpPr>
      <xdr:spPr>
        <a:xfrm>
          <a:off x="6769188" y="2296775"/>
          <a:ext cx="198120" cy="1933378"/>
        </a:xfrm>
        <a:prstGeom prst="rect">
          <a:avLst/>
        </a:prstGeom>
        <a:noFill/>
        <a:ln w="9525" cap="flat" cmpd="sng" algn="ctr">
          <a:solidFill>
            <a:schemeClr val="accent6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6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156078</xdr:colOff>
      <xdr:row>9</xdr:row>
      <xdr:rowOff>21810</xdr:rowOff>
    </xdr:from>
    <xdr:to>
      <xdr:col>9</xdr:col>
      <xdr:colOff>354198</xdr:colOff>
      <xdr:row>16</xdr:row>
      <xdr:rowOff>189450</xdr:rowOff>
    </xdr:to>
    <xdr:sp macro="" textlink="">
      <xdr:nvSpPr>
        <xdr:cNvPr id="5" name="矩形 4">
          <a:extLst>
            <a:ext uri="{FF2B5EF4-FFF2-40B4-BE49-F238E27FC236}">
              <a16:creationId xmlns:a16="http://schemas.microsoft.com/office/drawing/2014/main" xmlns="" id="{DD9B10B8-5FC2-4C3C-93CB-3BAD6E51825F}"/>
            </a:ext>
          </a:extLst>
        </xdr:cNvPr>
        <xdr:cNvSpPr/>
      </xdr:nvSpPr>
      <xdr:spPr>
        <a:xfrm>
          <a:off x="7155968" y="2297300"/>
          <a:ext cx="198120" cy="1933378"/>
        </a:xfrm>
        <a:prstGeom prst="rect">
          <a:avLst/>
        </a:prstGeom>
        <a:noFill/>
        <a:ln w="9525" cap="flat" cmpd="sng" algn="ctr">
          <a:solidFill>
            <a:schemeClr val="accent6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6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542071</xdr:colOff>
      <xdr:row>9</xdr:row>
      <xdr:rowOff>31795</xdr:rowOff>
    </xdr:from>
    <xdr:to>
      <xdr:col>10</xdr:col>
      <xdr:colOff>67529</xdr:colOff>
      <xdr:row>16</xdr:row>
      <xdr:rowOff>199435</xdr:rowOff>
    </xdr:to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xmlns="" id="{17777526-B566-426C-96C9-C1B980377DBA}"/>
            </a:ext>
          </a:extLst>
        </xdr:cNvPr>
        <xdr:cNvSpPr/>
      </xdr:nvSpPr>
      <xdr:spPr>
        <a:xfrm>
          <a:off x="7541961" y="2307285"/>
          <a:ext cx="198120" cy="1933378"/>
        </a:xfrm>
        <a:prstGeom prst="rect">
          <a:avLst/>
        </a:prstGeom>
        <a:noFill/>
        <a:ln w="9525" cap="flat" cmpd="sng" algn="ctr">
          <a:solidFill>
            <a:schemeClr val="accent6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6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274057</xdr:colOff>
      <xdr:row>9</xdr:row>
      <xdr:rowOff>21285</xdr:rowOff>
    </xdr:from>
    <xdr:to>
      <xdr:col>10</xdr:col>
      <xdr:colOff>472177</xdr:colOff>
      <xdr:row>16</xdr:row>
      <xdr:rowOff>188925</xdr:rowOff>
    </xdr:to>
    <xdr:sp macro="" textlink="">
      <xdr:nvSpPr>
        <xdr:cNvPr id="7" name="矩形 6">
          <a:extLst>
            <a:ext uri="{FF2B5EF4-FFF2-40B4-BE49-F238E27FC236}">
              <a16:creationId xmlns:a16="http://schemas.microsoft.com/office/drawing/2014/main" xmlns="" id="{EE8D215E-A4DE-4F59-9088-4BB96BD8C621}"/>
            </a:ext>
          </a:extLst>
        </xdr:cNvPr>
        <xdr:cNvSpPr/>
      </xdr:nvSpPr>
      <xdr:spPr>
        <a:xfrm>
          <a:off x="7946609" y="2296775"/>
          <a:ext cx="198120" cy="1933378"/>
        </a:xfrm>
        <a:prstGeom prst="rect">
          <a:avLst/>
        </a:prstGeom>
        <a:noFill/>
        <a:ln w="9525" cap="flat" cmpd="sng" algn="ctr">
          <a:solidFill>
            <a:schemeClr val="accent6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6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11</xdr:col>
      <xdr:colOff>168953</xdr:colOff>
      <xdr:row>9</xdr:row>
      <xdr:rowOff>31795</xdr:rowOff>
    </xdr:from>
    <xdr:to>
      <xdr:col>11</xdr:col>
      <xdr:colOff>367073</xdr:colOff>
      <xdr:row>16</xdr:row>
      <xdr:rowOff>199435</xdr:rowOff>
    </xdr:to>
    <xdr:sp macro="" textlink="">
      <xdr:nvSpPr>
        <xdr:cNvPr id="8" name="矩形 7">
          <a:extLst>
            <a:ext uri="{FF2B5EF4-FFF2-40B4-BE49-F238E27FC236}">
              <a16:creationId xmlns:a16="http://schemas.microsoft.com/office/drawing/2014/main" xmlns="" id="{F5B2D856-4611-4C1E-9BD1-2D03423E3C1C}"/>
            </a:ext>
          </a:extLst>
        </xdr:cNvPr>
        <xdr:cNvSpPr/>
      </xdr:nvSpPr>
      <xdr:spPr>
        <a:xfrm>
          <a:off x="8514167" y="2307285"/>
          <a:ext cx="198120" cy="1933378"/>
        </a:xfrm>
        <a:prstGeom prst="rect">
          <a:avLst/>
        </a:prstGeom>
        <a:noFill/>
        <a:ln w="9525" cap="flat" cmpd="sng" algn="ctr">
          <a:solidFill>
            <a:schemeClr val="accent6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6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11</xdr:col>
      <xdr:colOff>573601</xdr:colOff>
      <xdr:row>9</xdr:row>
      <xdr:rowOff>26540</xdr:rowOff>
    </xdr:from>
    <xdr:to>
      <xdr:col>12</xdr:col>
      <xdr:colOff>99059</xdr:colOff>
      <xdr:row>16</xdr:row>
      <xdr:rowOff>194180</xdr:rowOff>
    </xdr:to>
    <xdr:sp macro="" textlink="">
      <xdr:nvSpPr>
        <xdr:cNvPr id="9" name="矩形 8">
          <a:extLst>
            <a:ext uri="{FF2B5EF4-FFF2-40B4-BE49-F238E27FC236}">
              <a16:creationId xmlns:a16="http://schemas.microsoft.com/office/drawing/2014/main" xmlns="" id="{B3533F54-38B1-4E3E-AF11-6F96C2F76EAD}"/>
            </a:ext>
          </a:extLst>
        </xdr:cNvPr>
        <xdr:cNvSpPr/>
      </xdr:nvSpPr>
      <xdr:spPr>
        <a:xfrm>
          <a:off x="8918815" y="2302030"/>
          <a:ext cx="198120" cy="1933378"/>
        </a:xfrm>
        <a:prstGeom prst="rect">
          <a:avLst/>
        </a:prstGeom>
        <a:noFill/>
        <a:ln w="9525" cap="flat" cmpd="sng" algn="ctr">
          <a:solidFill>
            <a:schemeClr val="accent6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6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12</xdr:col>
      <xdr:colOff>289822</xdr:colOff>
      <xdr:row>9</xdr:row>
      <xdr:rowOff>37051</xdr:rowOff>
    </xdr:from>
    <xdr:to>
      <xdr:col>12</xdr:col>
      <xdr:colOff>487942</xdr:colOff>
      <xdr:row>16</xdr:row>
      <xdr:rowOff>204691</xdr:rowOff>
    </xdr:to>
    <xdr:sp macro="" textlink="">
      <xdr:nvSpPr>
        <xdr:cNvPr id="10" name="矩形 9">
          <a:extLst>
            <a:ext uri="{FF2B5EF4-FFF2-40B4-BE49-F238E27FC236}">
              <a16:creationId xmlns:a16="http://schemas.microsoft.com/office/drawing/2014/main" xmlns="" id="{C5D197D0-90CB-410F-A282-845FF35EDC4A}"/>
            </a:ext>
          </a:extLst>
        </xdr:cNvPr>
        <xdr:cNvSpPr/>
      </xdr:nvSpPr>
      <xdr:spPr>
        <a:xfrm>
          <a:off x="9307698" y="2312541"/>
          <a:ext cx="198120" cy="1933378"/>
        </a:xfrm>
        <a:prstGeom prst="rect">
          <a:avLst/>
        </a:prstGeom>
        <a:noFill/>
        <a:ln w="9525" cap="flat" cmpd="sng" algn="ctr">
          <a:solidFill>
            <a:schemeClr val="accent6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6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12</xdr:col>
      <xdr:colOff>668194</xdr:colOff>
      <xdr:row>9</xdr:row>
      <xdr:rowOff>21286</xdr:rowOff>
    </xdr:from>
    <xdr:to>
      <xdr:col>13</xdr:col>
      <xdr:colOff>193652</xdr:colOff>
      <xdr:row>16</xdr:row>
      <xdr:rowOff>188926</xdr:rowOff>
    </xdr:to>
    <xdr:sp macro="" textlink="">
      <xdr:nvSpPr>
        <xdr:cNvPr id="11" name="矩形 10">
          <a:extLst>
            <a:ext uri="{FF2B5EF4-FFF2-40B4-BE49-F238E27FC236}">
              <a16:creationId xmlns:a16="http://schemas.microsoft.com/office/drawing/2014/main" xmlns="" id="{6664E392-7DCB-4A13-BE97-181334CCC595}"/>
            </a:ext>
          </a:extLst>
        </xdr:cNvPr>
        <xdr:cNvSpPr/>
      </xdr:nvSpPr>
      <xdr:spPr>
        <a:xfrm>
          <a:off x="9686070" y="2296776"/>
          <a:ext cx="198120" cy="1933378"/>
        </a:xfrm>
        <a:prstGeom prst="rect">
          <a:avLst/>
        </a:prstGeom>
        <a:noFill/>
        <a:ln w="9525" cap="flat" cmpd="sng" algn="ctr">
          <a:solidFill>
            <a:schemeClr val="accent6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6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13</xdr:col>
      <xdr:colOff>400180</xdr:colOff>
      <xdr:row>9</xdr:row>
      <xdr:rowOff>21286</xdr:rowOff>
    </xdr:from>
    <xdr:to>
      <xdr:col>13</xdr:col>
      <xdr:colOff>598300</xdr:colOff>
      <xdr:row>16</xdr:row>
      <xdr:rowOff>188926</xdr:rowOff>
    </xdr:to>
    <xdr:sp macro="" textlink="">
      <xdr:nvSpPr>
        <xdr:cNvPr id="12" name="矩形 11">
          <a:extLst>
            <a:ext uri="{FF2B5EF4-FFF2-40B4-BE49-F238E27FC236}">
              <a16:creationId xmlns:a16="http://schemas.microsoft.com/office/drawing/2014/main" xmlns="" id="{BD9EA4BA-7592-47B4-A3AA-D2564C8F1D1D}"/>
            </a:ext>
          </a:extLst>
        </xdr:cNvPr>
        <xdr:cNvSpPr/>
      </xdr:nvSpPr>
      <xdr:spPr>
        <a:xfrm>
          <a:off x="10090718" y="2296776"/>
          <a:ext cx="198120" cy="1933378"/>
        </a:xfrm>
        <a:prstGeom prst="rect">
          <a:avLst/>
        </a:prstGeom>
        <a:noFill/>
        <a:ln w="9525" cap="flat" cmpd="sng" algn="ctr">
          <a:solidFill>
            <a:schemeClr val="accent6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6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14</xdr:col>
      <xdr:colOff>111146</xdr:colOff>
      <xdr:row>9</xdr:row>
      <xdr:rowOff>26541</xdr:rowOff>
    </xdr:from>
    <xdr:to>
      <xdr:col>14</xdr:col>
      <xdr:colOff>309266</xdr:colOff>
      <xdr:row>16</xdr:row>
      <xdr:rowOff>194181</xdr:rowOff>
    </xdr:to>
    <xdr:sp macro="" textlink="">
      <xdr:nvSpPr>
        <xdr:cNvPr id="13" name="矩形 12">
          <a:extLst>
            <a:ext uri="{FF2B5EF4-FFF2-40B4-BE49-F238E27FC236}">
              <a16:creationId xmlns:a16="http://schemas.microsoft.com/office/drawing/2014/main" xmlns="" id="{86F855BD-6F7D-48B7-9A24-BA5D35DD665A}"/>
            </a:ext>
          </a:extLst>
        </xdr:cNvPr>
        <xdr:cNvSpPr/>
      </xdr:nvSpPr>
      <xdr:spPr>
        <a:xfrm>
          <a:off x="10474346" y="2302031"/>
          <a:ext cx="198120" cy="1933378"/>
        </a:xfrm>
        <a:prstGeom prst="rect">
          <a:avLst/>
        </a:prstGeom>
        <a:noFill/>
        <a:ln w="9525" cap="flat" cmpd="sng" algn="ctr">
          <a:solidFill>
            <a:schemeClr val="accent6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6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y04\d\Program%20Files\Microsoft%20Office\Templates\&#30005;&#23376;&#34920;&#26684;&#27169;&#26495;\&#24037;&#19994;&#20225;&#19994;&#36130;&#21153;&#25253;&#34920;.xl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资产负债表"/>
      <sheetName val="损益表"/>
      <sheetName val="财务状况变动表"/>
      <sheetName val="利润分配表"/>
      <sheetName val="主营业务收支明细表"/>
      <sheetName val="示范99tzfl"/>
      <sheetName val="物资采购含税转出"/>
      <sheetName val="会计科目表"/>
      <sheetName val="设备部房屋"/>
      <sheetName val="XL4Poppy"/>
      <sheetName val="人员支出"/>
      <sheetName val="基本信息"/>
      <sheetName val="报表格式"/>
      <sheetName val="Inputs"/>
      <sheetName val="定义-ready"/>
      <sheetName val="其他应收款"/>
      <sheetName val="固定资产清单"/>
      <sheetName val="ZE预付供应商往来"/>
      <sheetName val="B"/>
      <sheetName val="ENT"/>
      <sheetName val="FTHL"/>
      <sheetName val="GX"/>
      <sheetName val="IN"/>
      <sheetName val="ITCD"/>
      <sheetName val="LVLT"/>
      <sheetName val="MFNX"/>
      <sheetName val="NOPT"/>
      <sheetName val="TCM"/>
      <sheetName val="TSIX"/>
      <sheetName val="WCG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AC69"/>
  <sheetViews>
    <sheetView tabSelected="1" zoomScale="85" zoomScaleNormal="85" zoomScaleSheetLayoutView="70" workbookViewId="0">
      <selection activeCell="J35" sqref="J35"/>
    </sheetView>
  </sheetViews>
  <sheetFormatPr defaultColWidth="9" defaultRowHeight="15.6"/>
  <cols>
    <col min="1" max="1" width="4" style="128" customWidth="1"/>
    <col min="2" max="2" width="30" style="128" customWidth="1"/>
    <col min="3" max="3" width="11.3984375" style="128" customWidth="1"/>
    <col min="4" max="4" width="9.3984375" style="128" customWidth="1"/>
    <col min="5" max="15" width="8.69921875" style="128" customWidth="1"/>
    <col min="16" max="29" width="8.3984375" style="128" customWidth="1"/>
    <col min="30" max="16384" width="9" style="128"/>
  </cols>
  <sheetData>
    <row r="1" spans="1:29" s="38" customFormat="1" ht="27" customHeight="1">
      <c r="A1" s="349" t="s">
        <v>136</v>
      </c>
      <c r="B1" s="350"/>
    </row>
    <row r="2" spans="1:29" s="44" customFormat="1" ht="28.2" customHeight="1">
      <c r="C2" s="169" t="str">
        <f>""&amp;基础资料!C1&amp;"价值估算表（1-1）"</f>
        <v>甘肃省临泽县锯条山2号冶金用石英岩矿出让收益评估价值估算表（1-1）</v>
      </c>
      <c r="D2" s="169"/>
      <c r="F2" s="108"/>
      <c r="G2" s="108"/>
      <c r="H2" s="108"/>
      <c r="I2" s="108"/>
      <c r="J2" s="108"/>
      <c r="K2" s="108"/>
      <c r="L2" s="108"/>
      <c r="M2" s="108"/>
      <c r="N2" s="108"/>
      <c r="P2" s="169" t="str">
        <f>""&amp;基础资料!C1&amp;"价值估算表（1-2）"</f>
        <v>甘肃省临泽县锯条山2号冶金用石英岩矿出让收益评估价值估算表（1-2）</v>
      </c>
      <c r="R2" s="108"/>
      <c r="S2" s="108"/>
      <c r="T2" s="108"/>
      <c r="U2" s="108"/>
      <c r="V2" s="108"/>
      <c r="W2" s="108"/>
      <c r="X2" s="108"/>
      <c r="Y2" s="108"/>
      <c r="Z2" s="108"/>
      <c r="AA2" s="169"/>
    </row>
    <row r="3" spans="1:29" s="9" customFormat="1" ht="17.25" customHeight="1">
      <c r="A3" s="39" t="str">
        <f>基础资料!C2</f>
        <v>评估委托人：临泽县自然资源局</v>
      </c>
      <c r="B3" s="39"/>
      <c r="G3" s="9" t="str">
        <f>基础资料!C3</f>
        <v>评估基准日：2023年8月31日</v>
      </c>
      <c r="O3" s="41" t="str">
        <f>AC3</f>
        <v>单位：万元</v>
      </c>
      <c r="T3" s="40" t="str">
        <f>基础资料!C3</f>
        <v>评估基准日：2023年8月31日</v>
      </c>
      <c r="AA3" s="41"/>
      <c r="AB3" s="41"/>
      <c r="AC3" s="42" t="s">
        <v>68</v>
      </c>
    </row>
    <row r="4" spans="1:29" s="9" customFormat="1" ht="24" customHeight="1">
      <c r="A4" s="351" t="s">
        <v>19</v>
      </c>
      <c r="B4" s="352" t="s">
        <v>20</v>
      </c>
      <c r="C4" s="351" t="s">
        <v>21</v>
      </c>
      <c r="D4" s="351" t="s">
        <v>48</v>
      </c>
      <c r="E4" s="351" t="s">
        <v>22</v>
      </c>
      <c r="F4" s="351"/>
      <c r="G4" s="354" t="s">
        <v>49</v>
      </c>
      <c r="H4" s="355"/>
      <c r="I4" s="355"/>
      <c r="J4" s="355"/>
      <c r="K4" s="355"/>
      <c r="L4" s="355"/>
      <c r="M4" s="355"/>
      <c r="N4" s="355"/>
      <c r="O4" s="356"/>
      <c r="P4" s="346" t="s">
        <v>49</v>
      </c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8"/>
    </row>
    <row r="5" spans="1:29" s="12" customFormat="1" ht="33" customHeight="1">
      <c r="A5" s="351"/>
      <c r="B5" s="352"/>
      <c r="C5" s="351"/>
      <c r="D5" s="353"/>
      <c r="E5" s="109" t="s">
        <v>205</v>
      </c>
      <c r="F5" s="109" t="s">
        <v>206</v>
      </c>
      <c r="G5" s="109" t="s">
        <v>207</v>
      </c>
      <c r="H5" s="109" t="s">
        <v>39</v>
      </c>
      <c r="I5" s="109" t="s">
        <v>50</v>
      </c>
      <c r="J5" s="109" t="s">
        <v>51</v>
      </c>
      <c r="K5" s="109" t="s">
        <v>52</v>
      </c>
      <c r="L5" s="109" t="s">
        <v>53</v>
      </c>
      <c r="M5" s="109" t="s">
        <v>54</v>
      </c>
      <c r="N5" s="109" t="s">
        <v>55</v>
      </c>
      <c r="O5" s="109" t="s">
        <v>56</v>
      </c>
      <c r="P5" s="109" t="s">
        <v>57</v>
      </c>
      <c r="Q5" s="109" t="s">
        <v>58</v>
      </c>
      <c r="R5" s="109" t="s">
        <v>59</v>
      </c>
      <c r="S5" s="109" t="s">
        <v>60</v>
      </c>
      <c r="T5" s="109" t="s">
        <v>61</v>
      </c>
      <c r="U5" s="109" t="s">
        <v>62</v>
      </c>
      <c r="V5" s="109" t="s">
        <v>63</v>
      </c>
      <c r="W5" s="109" t="s">
        <v>213</v>
      </c>
      <c r="X5" s="109"/>
      <c r="Y5" s="109"/>
      <c r="Z5" s="109"/>
      <c r="AA5" s="109"/>
      <c r="AB5" s="109"/>
      <c r="AC5" s="109"/>
    </row>
    <row r="6" spans="1:29" s="123" customFormat="1" ht="22.95" customHeight="1">
      <c r="A6" s="351"/>
      <c r="B6" s="352"/>
      <c r="C6" s="351"/>
      <c r="D6" s="43"/>
      <c r="E6" s="43">
        <f>4/12</f>
        <v>0.33333333333333331</v>
      </c>
      <c r="F6" s="43">
        <f>E6+2/12</f>
        <v>0.5</v>
      </c>
      <c r="G6" s="43">
        <f>F6+10/12</f>
        <v>1.3333333333333333</v>
      </c>
      <c r="H6" s="43">
        <f t="shared" ref="H6:Q6" si="0">G6+1</f>
        <v>2.3333333333333335</v>
      </c>
      <c r="I6" s="43">
        <f t="shared" si="0"/>
        <v>3.3333333333333335</v>
      </c>
      <c r="J6" s="43">
        <f t="shared" si="0"/>
        <v>4.333333333333333</v>
      </c>
      <c r="K6" s="43">
        <f t="shared" si="0"/>
        <v>5.333333333333333</v>
      </c>
      <c r="L6" s="43">
        <f t="shared" si="0"/>
        <v>6.333333333333333</v>
      </c>
      <c r="M6" s="43">
        <f t="shared" si="0"/>
        <v>7.333333333333333</v>
      </c>
      <c r="N6" s="43">
        <f t="shared" si="0"/>
        <v>8.3333333333333339</v>
      </c>
      <c r="O6" s="43">
        <f t="shared" si="0"/>
        <v>9.3333333333333339</v>
      </c>
      <c r="P6" s="43">
        <f t="shared" si="0"/>
        <v>10.333333333333334</v>
      </c>
      <c r="Q6" s="43">
        <f t="shared" si="0"/>
        <v>11.333333333333334</v>
      </c>
      <c r="R6" s="43">
        <f t="shared" ref="R6:V6" si="1">Q6+1</f>
        <v>12.333333333333334</v>
      </c>
      <c r="S6" s="43">
        <f t="shared" si="1"/>
        <v>13.333333333333334</v>
      </c>
      <c r="T6" s="43">
        <f t="shared" si="1"/>
        <v>14.333333333333334</v>
      </c>
      <c r="U6" s="43">
        <f t="shared" si="1"/>
        <v>15.333333333333334</v>
      </c>
      <c r="V6" s="43">
        <f t="shared" si="1"/>
        <v>16.333333333333332</v>
      </c>
      <c r="W6" s="43">
        <f>V6+7/12</f>
        <v>16.916666666666668</v>
      </c>
      <c r="X6" s="43"/>
      <c r="Y6" s="43"/>
      <c r="Z6" s="43"/>
      <c r="AA6" s="43"/>
      <c r="AB6" s="43"/>
      <c r="AC6" s="43"/>
    </row>
    <row r="7" spans="1:29" s="12" customFormat="1" ht="22.95" customHeight="1">
      <c r="A7" s="197" t="s">
        <v>23</v>
      </c>
      <c r="B7" s="124" t="s">
        <v>64</v>
      </c>
      <c r="C7" s="76">
        <f t="shared" ref="C7:C20" si="2">SUM(D7:AC7)</f>
        <v>8798.15</v>
      </c>
      <c r="D7" s="76"/>
      <c r="E7" s="76">
        <f>SUM(E8:E11)</f>
        <v>0</v>
      </c>
      <c r="F7" s="76">
        <f t="shared" ref="F7" si="3">SUM(F8:F11)</f>
        <v>0</v>
      </c>
      <c r="G7" s="76">
        <f>SUM(G8:G11)</f>
        <v>458.86</v>
      </c>
      <c r="H7" s="76">
        <f t="shared" ref="H7:N7" si="4">SUM(H8:H11)</f>
        <v>531</v>
      </c>
      <c r="I7" s="76">
        <f t="shared" si="4"/>
        <v>531</v>
      </c>
      <c r="J7" s="76">
        <f t="shared" si="4"/>
        <v>531</v>
      </c>
      <c r="K7" s="76">
        <f t="shared" si="4"/>
        <v>531</v>
      </c>
      <c r="L7" s="76">
        <f t="shared" si="4"/>
        <v>531</v>
      </c>
      <c r="M7" s="76">
        <f t="shared" si="4"/>
        <v>531</v>
      </c>
      <c r="N7" s="76">
        <f t="shared" si="4"/>
        <v>531</v>
      </c>
      <c r="O7" s="76">
        <f>SUM(O8:O11)</f>
        <v>531</v>
      </c>
      <c r="P7" s="76">
        <f>SUM(P8:P11)</f>
        <v>531</v>
      </c>
      <c r="Q7" s="76">
        <f t="shared" ref="Q7:W7" si="5">SUM(Q8:Q11)</f>
        <v>531</v>
      </c>
      <c r="R7" s="76">
        <f>SUM(R8:R11)</f>
        <v>545.33000000000004</v>
      </c>
      <c r="S7" s="76">
        <f t="shared" si="5"/>
        <v>531</v>
      </c>
      <c r="T7" s="76">
        <f t="shared" si="5"/>
        <v>531</v>
      </c>
      <c r="U7" s="76">
        <f t="shared" si="5"/>
        <v>531</v>
      </c>
      <c r="V7" s="76">
        <f t="shared" si="5"/>
        <v>531</v>
      </c>
      <c r="W7" s="76">
        <f t="shared" si="5"/>
        <v>359.96</v>
      </c>
      <c r="X7" s="76"/>
      <c r="Y7" s="76"/>
      <c r="Z7" s="76"/>
      <c r="AA7" s="76"/>
      <c r="AB7" s="76"/>
      <c r="AC7" s="76"/>
    </row>
    <row r="8" spans="1:29" s="12" customFormat="1" ht="22.95" customHeight="1">
      <c r="A8" s="197">
        <v>1</v>
      </c>
      <c r="B8" s="124" t="s">
        <v>24</v>
      </c>
      <c r="C8" s="76">
        <f t="shared" si="2"/>
        <v>8690.34</v>
      </c>
      <c r="D8" s="76"/>
      <c r="E8" s="76"/>
      <c r="F8" s="76"/>
      <c r="G8" s="76">
        <f>'3.销售收入'!E9</f>
        <v>442.32</v>
      </c>
      <c r="H8" s="76">
        <f>'3.销售收入'!F9</f>
        <v>531</v>
      </c>
      <c r="I8" s="76">
        <f>'3.销售收入'!G9</f>
        <v>531</v>
      </c>
      <c r="J8" s="76">
        <f>'3.销售收入'!H9</f>
        <v>531</v>
      </c>
      <c r="K8" s="76">
        <f>'3.销售收入'!I9</f>
        <v>531</v>
      </c>
      <c r="L8" s="76">
        <f>'3.销售收入'!J9</f>
        <v>531</v>
      </c>
      <c r="M8" s="76">
        <f>'3.销售收入'!K9</f>
        <v>531</v>
      </c>
      <c r="N8" s="76">
        <f>'3.销售收入'!L9</f>
        <v>531</v>
      </c>
      <c r="O8" s="76">
        <f>'3.销售收入'!M9</f>
        <v>531</v>
      </c>
      <c r="P8" s="76">
        <f>'3.销售收入'!N9</f>
        <v>531</v>
      </c>
      <c r="Q8" s="76">
        <f>'3.销售收入'!O9</f>
        <v>531</v>
      </c>
      <c r="R8" s="76">
        <f>'3.销售收入'!P9</f>
        <v>531</v>
      </c>
      <c r="S8" s="76">
        <f>'3.销售收入'!Q9</f>
        <v>531</v>
      </c>
      <c r="T8" s="76">
        <f>'3.销售收入'!R9</f>
        <v>531</v>
      </c>
      <c r="U8" s="76">
        <f>'3.销售收入'!S9</f>
        <v>531</v>
      </c>
      <c r="V8" s="76">
        <f>'3.销售收入'!T9</f>
        <v>531</v>
      </c>
      <c r="W8" s="76">
        <f>'3.销售收入'!U9</f>
        <v>283.02</v>
      </c>
      <c r="X8" s="76"/>
      <c r="Y8" s="76"/>
      <c r="Z8" s="76"/>
      <c r="AA8" s="76"/>
      <c r="AB8" s="76"/>
      <c r="AC8" s="76"/>
    </row>
    <row r="9" spans="1:29" s="12" customFormat="1" ht="22.95" customHeight="1">
      <c r="A9" s="197">
        <v>2</v>
      </c>
      <c r="B9" s="124" t="s">
        <v>65</v>
      </c>
      <c r="C9" s="76">
        <f t="shared" si="2"/>
        <v>63.1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127"/>
      <c r="R9" s="76">
        <f>'5.折旧'!R28</f>
        <v>3.98</v>
      </c>
      <c r="S9" s="76"/>
      <c r="T9" s="76"/>
      <c r="U9" s="76"/>
      <c r="V9" s="76"/>
      <c r="W9" s="76">
        <f>'5.折旧'!W7</f>
        <v>59.12</v>
      </c>
      <c r="X9" s="127"/>
      <c r="Y9" s="76"/>
      <c r="Z9" s="76"/>
      <c r="AA9" s="127"/>
      <c r="AB9" s="127"/>
      <c r="AC9" s="127"/>
    </row>
    <row r="10" spans="1:29" s="12" customFormat="1" ht="22.95" customHeight="1">
      <c r="A10" s="197">
        <v>3</v>
      </c>
      <c r="B10" s="124" t="s">
        <v>25</v>
      </c>
      <c r="C10" s="76">
        <f t="shared" si="2"/>
        <v>17.82</v>
      </c>
      <c r="D10" s="76"/>
      <c r="E10" s="76"/>
      <c r="F10" s="76"/>
      <c r="G10" s="76"/>
      <c r="H10" s="76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96">
        <f>G16</f>
        <v>17.82</v>
      </c>
      <c r="X10" s="127"/>
      <c r="Y10" s="125"/>
      <c r="Z10" s="196"/>
      <c r="AA10" s="125"/>
      <c r="AB10" s="125"/>
      <c r="AC10" s="125"/>
    </row>
    <row r="11" spans="1:29" s="12" customFormat="1" ht="22.95" customHeight="1">
      <c r="A11" s="197">
        <v>4</v>
      </c>
      <c r="B11" s="124" t="s">
        <v>26</v>
      </c>
      <c r="C11" s="76">
        <f t="shared" si="2"/>
        <v>26.89</v>
      </c>
      <c r="D11" s="76"/>
      <c r="E11" s="196"/>
      <c r="F11" s="196"/>
      <c r="G11" s="196">
        <f>'8.税费'!D11</f>
        <v>16.54</v>
      </c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>
        <f>'8.税费'!O11</f>
        <v>10.35</v>
      </c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</row>
    <row r="12" spans="1:29" s="12" customFormat="1" ht="22.95" customHeight="1">
      <c r="A12" s="197" t="s">
        <v>27</v>
      </c>
      <c r="B12" s="124" t="s">
        <v>66</v>
      </c>
      <c r="C12" s="76">
        <f t="shared" si="2"/>
        <v>7753.16</v>
      </c>
      <c r="D12" s="76"/>
      <c r="E12" s="76">
        <f t="shared" ref="E12:Q12" si="6">SUM(E13:E19)</f>
        <v>122</v>
      </c>
      <c r="F12" s="76">
        <f t="shared" si="6"/>
        <v>61</v>
      </c>
      <c r="G12" s="76">
        <f>SUM(G13:G19)</f>
        <v>396.5</v>
      </c>
      <c r="H12" s="76">
        <f>SUM(H13:H19)</f>
        <v>456.09</v>
      </c>
      <c r="I12" s="76">
        <f t="shared" si="6"/>
        <v>456.09</v>
      </c>
      <c r="J12" s="76">
        <f t="shared" si="6"/>
        <v>456.09</v>
      </c>
      <c r="K12" s="76">
        <f t="shared" si="6"/>
        <v>456.09</v>
      </c>
      <c r="L12" s="76">
        <f t="shared" si="6"/>
        <v>456.09</v>
      </c>
      <c r="M12" s="76">
        <f t="shared" si="6"/>
        <v>456.09</v>
      </c>
      <c r="N12" s="76">
        <f t="shared" si="6"/>
        <v>456.09</v>
      </c>
      <c r="O12" s="76">
        <f t="shared" si="6"/>
        <v>456.09</v>
      </c>
      <c r="P12" s="76">
        <f t="shared" si="6"/>
        <v>456.09</v>
      </c>
      <c r="Q12" s="76">
        <f t="shared" si="6"/>
        <v>456.09</v>
      </c>
      <c r="R12" s="76">
        <f>SUM(R13:R19)</f>
        <v>545.30999999999995</v>
      </c>
      <c r="S12" s="76">
        <f t="shared" ref="S12" si="7">SUM(S13:S19)</f>
        <v>456.09</v>
      </c>
      <c r="T12" s="76">
        <f t="shared" ref="T12" si="8">SUM(T13:T19)</f>
        <v>456.09</v>
      </c>
      <c r="U12" s="76">
        <f t="shared" ref="U12" si="9">SUM(U13:U19)</f>
        <v>456.09</v>
      </c>
      <c r="V12" s="76">
        <f t="shared" ref="V12" si="10">SUM(V13:V19)</f>
        <v>456.09</v>
      </c>
      <c r="W12" s="76">
        <f t="shared" ref="W12" si="11">SUM(W13:W19)</f>
        <v>243.09</v>
      </c>
      <c r="X12" s="76"/>
      <c r="Y12" s="76"/>
      <c r="Z12" s="76"/>
      <c r="AA12" s="76"/>
      <c r="AB12" s="76"/>
      <c r="AC12" s="76"/>
    </row>
    <row r="13" spans="1:29" s="12" customFormat="1" ht="22.95" customHeight="1">
      <c r="A13" s="197">
        <v>1</v>
      </c>
      <c r="B13" s="124" t="s">
        <v>37</v>
      </c>
      <c r="C13" s="76">
        <f t="shared" si="2"/>
        <v>165</v>
      </c>
      <c r="D13" s="76"/>
      <c r="E13" s="76">
        <f>'4.固定资产'!G13/6*4</f>
        <v>110</v>
      </c>
      <c r="F13" s="76">
        <f>'4.固定资产'!G13/6*2</f>
        <v>55</v>
      </c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W13" s="76"/>
      <c r="X13" s="76"/>
      <c r="Y13" s="76"/>
      <c r="Z13" s="76"/>
      <c r="AA13" s="76"/>
      <c r="AB13" s="76"/>
      <c r="AC13" s="76"/>
    </row>
    <row r="14" spans="1:29" s="12" customFormat="1" ht="22.95" customHeight="1">
      <c r="A14" s="197">
        <v>2</v>
      </c>
      <c r="B14" s="195" t="s">
        <v>113</v>
      </c>
      <c r="C14" s="76">
        <f t="shared" si="2"/>
        <v>18</v>
      </c>
      <c r="D14" s="76"/>
      <c r="E14" s="76">
        <f>'4.固定资产'!G14/6*4</f>
        <v>12</v>
      </c>
      <c r="F14" s="76">
        <f>'4.固定资产'!G14/6*2</f>
        <v>6</v>
      </c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</row>
    <row r="15" spans="1:29" s="12" customFormat="1" ht="22.95" customHeight="1">
      <c r="A15" s="197">
        <v>3</v>
      </c>
      <c r="B15" s="124" t="s">
        <v>28</v>
      </c>
      <c r="C15" s="76">
        <f t="shared" si="2"/>
        <v>90</v>
      </c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>
        <f>'5.折旧'!R23</f>
        <v>90</v>
      </c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</row>
    <row r="16" spans="1:29" s="12" customFormat="1" ht="22.95" customHeight="1">
      <c r="A16" s="197">
        <v>4</v>
      </c>
      <c r="B16" s="124" t="s">
        <v>29</v>
      </c>
      <c r="C16" s="76">
        <f t="shared" si="2"/>
        <v>17.82</v>
      </c>
      <c r="D16" s="76"/>
      <c r="E16" s="76"/>
      <c r="F16" s="76"/>
      <c r="G16" s="76">
        <f>('5.折旧'!D13+'5.折旧'!D19+'5.折旧'!D25)*12%</f>
        <v>17.82</v>
      </c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</row>
    <row r="17" spans="1:29" s="12" customFormat="1" ht="22.95" customHeight="1">
      <c r="A17" s="197">
        <v>5</v>
      </c>
      <c r="B17" s="124" t="s">
        <v>30</v>
      </c>
      <c r="C17" s="76">
        <f t="shared" si="2"/>
        <v>6886.82</v>
      </c>
      <c r="D17" s="76"/>
      <c r="E17" s="76"/>
      <c r="F17" s="76"/>
      <c r="G17" s="76">
        <f>'7.总成本费用'!C16</f>
        <v>350.53</v>
      </c>
      <c r="H17" s="76">
        <f>'7.总成本费用'!D16</f>
        <v>420.8</v>
      </c>
      <c r="I17" s="76">
        <f>'7.总成本费用'!E16</f>
        <v>420.8</v>
      </c>
      <c r="J17" s="76">
        <f>'7.总成本费用'!F16</f>
        <v>420.8</v>
      </c>
      <c r="K17" s="76">
        <f>'7.总成本费用'!G16</f>
        <v>420.8</v>
      </c>
      <c r="L17" s="76">
        <f>'7.总成本费用'!H16</f>
        <v>420.8</v>
      </c>
      <c r="M17" s="76">
        <f>'7.总成本费用'!I16</f>
        <v>420.8</v>
      </c>
      <c r="N17" s="76">
        <f>'7.总成本费用'!J16</f>
        <v>420.8</v>
      </c>
      <c r="O17" s="76">
        <f>'7.总成本费用'!K16</f>
        <v>420.8</v>
      </c>
      <c r="P17" s="76">
        <f>'7.总成本费用'!L16</f>
        <v>420.8</v>
      </c>
      <c r="Q17" s="76">
        <f>'7.总成本费用'!M16</f>
        <v>420.8</v>
      </c>
      <c r="R17" s="76">
        <f>'7.总成本费用'!N16</f>
        <v>420.8</v>
      </c>
      <c r="S17" s="76">
        <f>'7.总成本费用'!O16</f>
        <v>420.8</v>
      </c>
      <c r="T17" s="76">
        <f>'7.总成本费用'!P16</f>
        <v>420.8</v>
      </c>
      <c r="U17" s="76">
        <f>'7.总成本费用'!Q16</f>
        <v>420.8</v>
      </c>
      <c r="V17" s="76">
        <f>'7.总成本费用'!R16</f>
        <v>420.8</v>
      </c>
      <c r="W17" s="76">
        <f>'7.总成本费用'!S16</f>
        <v>224.29</v>
      </c>
      <c r="X17" s="76"/>
      <c r="Y17" s="76"/>
      <c r="Z17" s="76"/>
      <c r="AA17" s="76"/>
      <c r="AB17" s="76"/>
      <c r="AC17" s="76"/>
    </row>
    <row r="18" spans="1:29" s="12" customFormat="1" ht="22.95" customHeight="1">
      <c r="A18" s="197">
        <v>6</v>
      </c>
      <c r="B18" s="124" t="s">
        <v>31</v>
      </c>
      <c r="C18" s="76">
        <f t="shared" si="2"/>
        <v>230.02</v>
      </c>
      <c r="D18" s="76"/>
      <c r="E18" s="76"/>
      <c r="F18" s="76"/>
      <c r="G18" s="76">
        <f>'8.税费'!D12</f>
        <v>10.19</v>
      </c>
      <c r="H18" s="76">
        <f>'8.税费'!E12</f>
        <v>14.22</v>
      </c>
      <c r="I18" s="76">
        <f>'8.税费'!F12</f>
        <v>14.22</v>
      </c>
      <c r="J18" s="76">
        <f>'8.税费'!G12</f>
        <v>14.22</v>
      </c>
      <c r="K18" s="76">
        <f>'8.税费'!H12</f>
        <v>14.22</v>
      </c>
      <c r="L18" s="76">
        <f>'8.税费'!I12</f>
        <v>14.22</v>
      </c>
      <c r="M18" s="76">
        <f>'8.税费'!J12</f>
        <v>14.22</v>
      </c>
      <c r="N18" s="76">
        <f>'8.税费'!K12</f>
        <v>14.22</v>
      </c>
      <c r="O18" s="76">
        <f>'8.税费'!L12</f>
        <v>14.22</v>
      </c>
      <c r="P18" s="76">
        <f>'8.税费'!M12</f>
        <v>14.22</v>
      </c>
      <c r="Q18" s="76">
        <f>'8.税费'!N12</f>
        <v>14.22</v>
      </c>
      <c r="R18" s="76">
        <f>'8.税费'!O12</f>
        <v>13.18</v>
      </c>
      <c r="S18" s="76">
        <f>'8.税费'!P12</f>
        <v>14.22</v>
      </c>
      <c r="T18" s="76">
        <f>'8.税费'!Q12</f>
        <v>14.22</v>
      </c>
      <c r="U18" s="76">
        <f>'8.税费'!R12</f>
        <v>14.22</v>
      </c>
      <c r="V18" s="76">
        <f>'8.税费'!S12</f>
        <v>14.22</v>
      </c>
      <c r="W18" s="76">
        <f>'8.税费'!T12</f>
        <v>7.57</v>
      </c>
      <c r="X18" s="76"/>
      <c r="Y18" s="76"/>
      <c r="Z18" s="76"/>
      <c r="AA18" s="76"/>
      <c r="AB18" s="76"/>
      <c r="AC18" s="76"/>
    </row>
    <row r="19" spans="1:29" s="12" customFormat="1" ht="22.95" customHeight="1">
      <c r="A19" s="197">
        <v>7</v>
      </c>
      <c r="B19" s="124" t="s">
        <v>32</v>
      </c>
      <c r="C19" s="76">
        <f t="shared" si="2"/>
        <v>345.5</v>
      </c>
      <c r="D19" s="76"/>
      <c r="E19" s="76"/>
      <c r="F19" s="76"/>
      <c r="G19" s="76">
        <f>'8.税费'!D18</f>
        <v>17.96</v>
      </c>
      <c r="H19" s="76">
        <f>'8.税费'!E18</f>
        <v>21.07</v>
      </c>
      <c r="I19" s="76">
        <f>'8.税费'!F18</f>
        <v>21.07</v>
      </c>
      <c r="J19" s="76">
        <f>'8.税费'!G18</f>
        <v>21.07</v>
      </c>
      <c r="K19" s="76">
        <f>'8.税费'!H18</f>
        <v>21.07</v>
      </c>
      <c r="L19" s="76">
        <f>'8.税费'!I18</f>
        <v>21.07</v>
      </c>
      <c r="M19" s="76">
        <f>'8.税费'!J18</f>
        <v>21.07</v>
      </c>
      <c r="N19" s="76">
        <f>'8.税费'!K18</f>
        <v>21.07</v>
      </c>
      <c r="O19" s="76">
        <f>'8.税费'!L18</f>
        <v>21.07</v>
      </c>
      <c r="P19" s="76">
        <f>'8.税费'!M18</f>
        <v>21.07</v>
      </c>
      <c r="Q19" s="76">
        <f>'8.税费'!N18</f>
        <v>21.07</v>
      </c>
      <c r="R19" s="76">
        <f>'8.税费'!O18</f>
        <v>21.33</v>
      </c>
      <c r="S19" s="76">
        <f>'8.税费'!P18</f>
        <v>21.07</v>
      </c>
      <c r="T19" s="76">
        <f>'8.税费'!Q18</f>
        <v>21.07</v>
      </c>
      <c r="U19" s="76">
        <f>'8.税费'!R18</f>
        <v>21.07</v>
      </c>
      <c r="V19" s="76">
        <f>'8.税费'!S18</f>
        <v>21.07</v>
      </c>
      <c r="W19" s="76">
        <f>'8.税费'!T18</f>
        <v>11.23</v>
      </c>
      <c r="X19" s="76"/>
      <c r="Y19" s="76"/>
      <c r="Z19" s="76"/>
      <c r="AA19" s="76"/>
      <c r="AB19" s="76"/>
      <c r="AC19" s="76"/>
    </row>
    <row r="20" spans="1:29" s="12" customFormat="1" ht="22.95" customHeight="1">
      <c r="A20" s="197" t="s">
        <v>33</v>
      </c>
      <c r="B20" s="124" t="s">
        <v>34</v>
      </c>
      <c r="C20" s="76">
        <f t="shared" si="2"/>
        <v>1044.99</v>
      </c>
      <c r="D20" s="76">
        <f>D7-D12</f>
        <v>0</v>
      </c>
      <c r="E20" s="76">
        <f>E7-E12</f>
        <v>-122</v>
      </c>
      <c r="F20" s="76">
        <f>F7-F12</f>
        <v>-61</v>
      </c>
      <c r="G20" s="76">
        <f>G7-G12</f>
        <v>62.36</v>
      </c>
      <c r="H20" s="76">
        <f t="shared" ref="H20:W20" si="12">H7-H12</f>
        <v>74.91</v>
      </c>
      <c r="I20" s="76">
        <f t="shared" si="12"/>
        <v>74.91</v>
      </c>
      <c r="J20" s="76">
        <f t="shared" si="12"/>
        <v>74.91</v>
      </c>
      <c r="K20" s="76">
        <f t="shared" si="12"/>
        <v>74.91</v>
      </c>
      <c r="L20" s="76">
        <f t="shared" si="12"/>
        <v>74.91</v>
      </c>
      <c r="M20" s="76">
        <f t="shared" si="12"/>
        <v>74.91</v>
      </c>
      <c r="N20" s="76">
        <f t="shared" si="12"/>
        <v>74.91</v>
      </c>
      <c r="O20" s="76">
        <f t="shared" si="12"/>
        <v>74.91</v>
      </c>
      <c r="P20" s="76">
        <f t="shared" si="12"/>
        <v>74.91</v>
      </c>
      <c r="Q20" s="76">
        <f t="shared" si="12"/>
        <v>74.91</v>
      </c>
      <c r="R20" s="76">
        <f t="shared" si="12"/>
        <v>0.02</v>
      </c>
      <c r="S20" s="76">
        <f t="shared" si="12"/>
        <v>74.91</v>
      </c>
      <c r="T20" s="76">
        <f t="shared" si="12"/>
        <v>74.91</v>
      </c>
      <c r="U20" s="76">
        <f t="shared" si="12"/>
        <v>74.91</v>
      </c>
      <c r="V20" s="76">
        <f t="shared" si="12"/>
        <v>74.91</v>
      </c>
      <c r="W20" s="76">
        <f t="shared" si="12"/>
        <v>116.87</v>
      </c>
      <c r="X20" s="76"/>
      <c r="Y20" s="76"/>
      <c r="Z20" s="76"/>
      <c r="AA20" s="76"/>
      <c r="AB20" s="76"/>
      <c r="AC20" s="76"/>
    </row>
    <row r="21" spans="1:29" s="12" customFormat="1" ht="22.95" customHeight="1">
      <c r="A21" s="197" t="s">
        <v>35</v>
      </c>
      <c r="B21" s="124" t="s">
        <v>67</v>
      </c>
      <c r="C21" s="76"/>
      <c r="D21" s="126">
        <v>1</v>
      </c>
      <c r="E21" s="126">
        <f t="shared" ref="E21:P21" si="13">1.08^-(E6)</f>
        <v>0.97470000000000001</v>
      </c>
      <c r="F21" s="126">
        <f t="shared" si="13"/>
        <v>0.96230000000000004</v>
      </c>
      <c r="G21" s="126">
        <f t="shared" si="13"/>
        <v>0.90249999999999997</v>
      </c>
      <c r="H21" s="126">
        <f t="shared" si="13"/>
        <v>0.83560000000000001</v>
      </c>
      <c r="I21" s="126">
        <f t="shared" si="13"/>
        <v>0.77370000000000005</v>
      </c>
      <c r="J21" s="126">
        <f t="shared" si="13"/>
        <v>0.71640000000000004</v>
      </c>
      <c r="K21" s="126">
        <f t="shared" si="13"/>
        <v>0.6633</v>
      </c>
      <c r="L21" s="126">
        <f t="shared" si="13"/>
        <v>0.61419999999999997</v>
      </c>
      <c r="M21" s="126">
        <f t="shared" si="13"/>
        <v>0.56869999999999998</v>
      </c>
      <c r="N21" s="126">
        <f t="shared" si="13"/>
        <v>0.52659999999999996</v>
      </c>
      <c r="O21" s="126">
        <f t="shared" si="13"/>
        <v>0.48759999999999998</v>
      </c>
      <c r="P21" s="126">
        <f t="shared" si="13"/>
        <v>0.45150000000000001</v>
      </c>
      <c r="Q21" s="126">
        <f t="shared" ref="Q21:W21" si="14">1.08^-(Q6)</f>
        <v>0.41799999999999998</v>
      </c>
      <c r="R21" s="126">
        <f t="shared" si="14"/>
        <v>0.3871</v>
      </c>
      <c r="S21" s="126">
        <f t="shared" si="14"/>
        <v>0.3584</v>
      </c>
      <c r="T21" s="126">
        <f t="shared" si="14"/>
        <v>0.33179999999999998</v>
      </c>
      <c r="U21" s="126">
        <f t="shared" si="14"/>
        <v>0.30730000000000002</v>
      </c>
      <c r="V21" s="126">
        <f t="shared" si="14"/>
        <v>0.28449999999999998</v>
      </c>
      <c r="W21" s="126">
        <f t="shared" si="14"/>
        <v>0.27200000000000002</v>
      </c>
      <c r="X21" s="126"/>
      <c r="Y21" s="126"/>
      <c r="Z21" s="126"/>
      <c r="AA21" s="126"/>
      <c r="AB21" s="126"/>
      <c r="AC21" s="126"/>
    </row>
    <row r="22" spans="1:29" s="12" customFormat="1" ht="22.95" customHeight="1">
      <c r="A22" s="197" t="s">
        <v>36</v>
      </c>
      <c r="B22" s="127" t="s">
        <v>38</v>
      </c>
      <c r="C22" s="76">
        <f>SUM(D22:AC22)</f>
        <v>460.14</v>
      </c>
      <c r="D22" s="76">
        <f t="shared" ref="D22:H22" si="15">D21*D20</f>
        <v>0</v>
      </c>
      <c r="E22" s="76">
        <f t="shared" si="15"/>
        <v>-118.91</v>
      </c>
      <c r="F22" s="76">
        <f t="shared" si="15"/>
        <v>-58.7</v>
      </c>
      <c r="G22" s="76">
        <f t="shared" si="15"/>
        <v>56.28</v>
      </c>
      <c r="H22" s="76">
        <f t="shared" si="15"/>
        <v>62.59</v>
      </c>
      <c r="I22" s="76">
        <f t="shared" ref="I22:P22" si="16">I21*I20</f>
        <v>57.96</v>
      </c>
      <c r="J22" s="76">
        <f t="shared" si="16"/>
        <v>53.67</v>
      </c>
      <c r="K22" s="76">
        <f t="shared" si="16"/>
        <v>49.69</v>
      </c>
      <c r="L22" s="76">
        <f t="shared" si="16"/>
        <v>46.01</v>
      </c>
      <c r="M22" s="76">
        <f t="shared" si="16"/>
        <v>42.6</v>
      </c>
      <c r="N22" s="76">
        <f t="shared" si="16"/>
        <v>39.450000000000003</v>
      </c>
      <c r="O22" s="76">
        <f t="shared" si="16"/>
        <v>36.53</v>
      </c>
      <c r="P22" s="76">
        <f t="shared" si="16"/>
        <v>33.82</v>
      </c>
      <c r="Q22" s="76">
        <f t="shared" ref="Q22:W22" si="17">Q21*Q20</f>
        <v>31.31</v>
      </c>
      <c r="R22" s="76">
        <f t="shared" si="17"/>
        <v>0.01</v>
      </c>
      <c r="S22" s="76">
        <f t="shared" si="17"/>
        <v>26.85</v>
      </c>
      <c r="T22" s="76">
        <f t="shared" si="17"/>
        <v>24.86</v>
      </c>
      <c r="U22" s="76">
        <f t="shared" si="17"/>
        <v>23.02</v>
      </c>
      <c r="V22" s="76">
        <f t="shared" si="17"/>
        <v>21.31</v>
      </c>
      <c r="W22" s="76">
        <f t="shared" si="17"/>
        <v>31.79</v>
      </c>
      <c r="X22" s="76"/>
      <c r="Y22" s="76"/>
      <c r="Z22" s="76"/>
      <c r="AA22" s="76"/>
      <c r="AB22" s="76"/>
      <c r="AC22" s="76"/>
    </row>
    <row r="23" spans="1:29" s="339" customFormat="1" ht="23.4" customHeight="1">
      <c r="A23" s="337" t="str">
        <f>基础资料!C4</f>
        <v>评估机构：北京中煤思维咨询有限公司</v>
      </c>
      <c r="B23" s="338"/>
      <c r="G23" s="339" t="str">
        <f>基础资料!C5</f>
        <v>审核：左和军</v>
      </c>
      <c r="O23" s="340" t="str">
        <f>基础资料!C6</f>
        <v>制表：冯俊龙</v>
      </c>
      <c r="U23" s="339" t="str">
        <f>G23</f>
        <v>审核：左和军</v>
      </c>
      <c r="AA23" s="340"/>
      <c r="AB23" s="340"/>
      <c r="AC23" s="340" t="str">
        <f>O23</f>
        <v>制表：冯俊龙</v>
      </c>
    </row>
    <row r="24" spans="1:29" ht="17.25" customHeight="1">
      <c r="B24" s="164"/>
    </row>
    <row r="25" spans="1:29" ht="17.25" customHeight="1">
      <c r="B25" s="164"/>
      <c r="X25" s="342">
        <f>W6+2/12</f>
        <v>17.083333333333332</v>
      </c>
    </row>
    <row r="26" spans="1:29" ht="17.25" customHeight="1">
      <c r="B26" s="164"/>
    </row>
    <row r="27" spans="1:29" ht="17.25" customHeight="1">
      <c r="B27" s="164"/>
    </row>
    <row r="28" spans="1:29" ht="17.25" customHeight="1">
      <c r="B28" s="164"/>
    </row>
    <row r="29" spans="1:29" ht="17.25" customHeight="1">
      <c r="B29" s="164"/>
    </row>
    <row r="30" spans="1:29" ht="17.25" customHeight="1">
      <c r="B30" s="245"/>
      <c r="C30" s="244"/>
      <c r="D30" s="244"/>
      <c r="E30" s="244"/>
      <c r="F30" s="244"/>
    </row>
    <row r="31" spans="1:29" s="237" customFormat="1" ht="24.6" customHeight="1">
      <c r="B31" s="400" t="s">
        <v>215</v>
      </c>
      <c r="C31" s="401"/>
      <c r="D31" s="244"/>
      <c r="E31" s="244"/>
      <c r="F31" s="244"/>
    </row>
    <row r="32" spans="1:29" s="237" customFormat="1" ht="17.25" customHeight="1">
      <c r="B32" s="402" t="s">
        <v>216</v>
      </c>
      <c r="C32" s="403">
        <f>'2.可采储量及服务年限'!C8</f>
        <v>195.53</v>
      </c>
      <c r="D32" s="404"/>
      <c r="E32" s="405" t="s">
        <v>217</v>
      </c>
      <c r="F32" s="244" t="s">
        <v>218</v>
      </c>
    </row>
    <row r="33" spans="2:6" s="237" customFormat="1" ht="17.25" customHeight="1">
      <c r="B33" s="402" t="s">
        <v>219</v>
      </c>
      <c r="C33" s="406">
        <v>1.45</v>
      </c>
      <c r="D33" s="404"/>
      <c r="E33" s="404"/>
      <c r="F33" s="244"/>
    </row>
    <row r="34" spans="2:6" s="237" customFormat="1" ht="17.25" customHeight="1">
      <c r="B34" s="402" t="s">
        <v>220</v>
      </c>
      <c r="C34" s="407">
        <f>C32*C33</f>
        <v>283.52</v>
      </c>
      <c r="D34" s="404"/>
      <c r="E34" s="404"/>
      <c r="F34" s="244"/>
    </row>
    <row r="35" spans="2:6" s="237" customFormat="1" ht="17.25" customHeight="1">
      <c r="B35" s="402" t="s">
        <v>221</v>
      </c>
      <c r="C35" s="407">
        <f>C22</f>
        <v>460.14</v>
      </c>
      <c r="D35" s="404"/>
      <c r="E35" s="404"/>
      <c r="F35" s="244"/>
    </row>
    <row r="36" spans="2:6" s="237" customFormat="1" ht="17.25" customHeight="1">
      <c r="B36" s="402" t="s">
        <v>222</v>
      </c>
      <c r="C36" s="408">
        <f>C35/C32</f>
        <v>2.3530000000000002</v>
      </c>
      <c r="D36" s="404"/>
      <c r="E36" s="404"/>
      <c r="F36" s="244"/>
    </row>
    <row r="37" spans="2:6" s="237" customFormat="1" ht="17.25" customHeight="1">
      <c r="B37" s="402" t="s">
        <v>223</v>
      </c>
      <c r="C37" s="406">
        <f>C22/C34</f>
        <v>1.62</v>
      </c>
      <c r="D37" s="404"/>
      <c r="E37" s="404"/>
      <c r="F37" s="244"/>
    </row>
    <row r="38" spans="2:6" s="237" customFormat="1" ht="17.25" customHeight="1">
      <c r="B38" s="405"/>
      <c r="C38" s="409"/>
      <c r="D38" s="404"/>
      <c r="E38" s="404"/>
      <c r="F38" s="244"/>
    </row>
    <row r="39" spans="2:6" ht="17.25" customHeight="1">
      <c r="B39" s="410">
        <f>C22/'2.可采储量及服务年限'!C8</f>
        <v>2.3532999999999999</v>
      </c>
      <c r="C39" s="411" t="s">
        <v>224</v>
      </c>
      <c r="D39" s="244"/>
      <c r="E39" s="244"/>
      <c r="F39" s="244"/>
    </row>
    <row r="40" spans="2:6" ht="17.25" customHeight="1">
      <c r="B40" s="245"/>
      <c r="C40" s="244"/>
      <c r="D40" s="244"/>
      <c r="E40" s="244"/>
      <c r="F40" s="244"/>
    </row>
    <row r="41" spans="2:6" ht="17.25" customHeight="1">
      <c r="B41" s="245"/>
      <c r="C41" s="244"/>
      <c r="D41" s="244"/>
      <c r="E41" s="244"/>
      <c r="F41" s="244"/>
    </row>
    <row r="42" spans="2:6" ht="17.25" customHeight="1">
      <c r="B42" s="245"/>
      <c r="C42" s="244"/>
      <c r="D42" s="244"/>
      <c r="E42" s="244"/>
      <c r="F42" s="244"/>
    </row>
    <row r="43" spans="2:6" ht="17.25" customHeight="1">
      <c r="B43" s="412" t="s">
        <v>225</v>
      </c>
      <c r="C43" s="413">
        <v>2.3559999999999999</v>
      </c>
      <c r="D43" s="244"/>
      <c r="E43" s="244"/>
      <c r="F43" s="244"/>
    </row>
    <row r="44" spans="2:6" ht="17.25" customHeight="1">
      <c r="B44" s="245"/>
      <c r="C44" s="244"/>
      <c r="D44" s="244"/>
      <c r="E44" s="244"/>
      <c r="F44" s="244"/>
    </row>
    <row r="45" spans="2:6" ht="17.25" customHeight="1">
      <c r="B45" s="245"/>
      <c r="C45" s="244"/>
      <c r="D45" s="244"/>
      <c r="E45" s="244"/>
      <c r="F45" s="244"/>
    </row>
    <row r="46" spans="2:6" ht="17.25" customHeight="1">
      <c r="B46" s="164"/>
    </row>
    <row r="47" spans="2:6" ht="17.25" customHeight="1">
      <c r="B47" s="164"/>
    </row>
    <row r="48" spans="2:6" ht="17.25" customHeight="1">
      <c r="B48" s="164"/>
    </row>
    <row r="49" spans="2:9" ht="17.25" customHeight="1">
      <c r="B49" s="164"/>
    </row>
    <row r="50" spans="2:9" ht="17.25" customHeight="1">
      <c r="B50" s="164"/>
    </row>
    <row r="51" spans="2:9" s="244" customFormat="1" ht="17.25" customHeight="1">
      <c r="B51" s="245"/>
    </row>
    <row r="52" spans="2:9" s="244" customFormat="1" ht="17.25" customHeight="1">
      <c r="B52" s="245"/>
    </row>
    <row r="53" spans="2:9" s="237" customFormat="1" ht="17.25" customHeight="1">
      <c r="B53" s="164"/>
    </row>
    <row r="54" spans="2:9" s="237" customFormat="1" ht="17.25" customHeight="1">
      <c r="B54" s="250"/>
      <c r="C54" s="251"/>
      <c r="D54" s="252" t="s">
        <v>148</v>
      </c>
      <c r="G54" s="164"/>
      <c r="I54" s="253"/>
    </row>
    <row r="55" spans="2:9" s="237" customFormat="1" ht="17.25" customHeight="1">
      <c r="B55" s="250"/>
      <c r="C55" s="251"/>
      <c r="D55" s="254" t="s">
        <v>141</v>
      </c>
      <c r="E55" s="254" t="s">
        <v>151</v>
      </c>
      <c r="F55" s="254" t="s">
        <v>152</v>
      </c>
      <c r="G55" s="164"/>
      <c r="I55" s="253"/>
    </row>
    <row r="56" spans="2:9" s="237" customFormat="1" ht="17.25" customHeight="1">
      <c r="B56" s="238"/>
      <c r="D56" s="255" t="s">
        <v>149</v>
      </c>
      <c r="E56" s="256" t="s">
        <v>154</v>
      </c>
      <c r="F56" s="256" t="e">
        <f>'3.销售收入'!G9*#REF!%</f>
        <v>#REF!</v>
      </c>
      <c r="G56" s="164"/>
    </row>
    <row r="57" spans="2:9" s="237" customFormat="1" ht="17.25" customHeight="1">
      <c r="B57" s="238"/>
      <c r="D57" s="257" t="s">
        <v>150</v>
      </c>
      <c r="E57" s="258" t="s">
        <v>155</v>
      </c>
      <c r="F57" s="256" t="e">
        <f>('5.折旧'!D19+'5.折旧'!D25+'4.固定资产'!G6/1.09)*#REF!%</f>
        <v>#REF!</v>
      </c>
    </row>
    <row r="58" spans="2:9" s="237" customFormat="1" ht="17.25" customHeight="1">
      <c r="B58" s="238"/>
      <c r="D58" s="257" t="s">
        <v>153</v>
      </c>
      <c r="E58" s="256" t="s">
        <v>156</v>
      </c>
      <c r="F58" s="256" t="e">
        <f>'7.总成本费用'!F15*#REF!%</f>
        <v>#REF!</v>
      </c>
      <c r="G58" s="251" t="e">
        <f>10614.09*#REF!%</f>
        <v>#REF!</v>
      </c>
      <c r="H58" s="237">
        <v>10614.09</v>
      </c>
    </row>
    <row r="59" spans="2:9" s="244" customFormat="1" ht="17.25" customHeight="1">
      <c r="B59" s="246"/>
    </row>
    <row r="60" spans="2:9" s="237" customFormat="1" ht="17.25" customHeight="1">
      <c r="B60" s="238"/>
    </row>
    <row r="61" spans="2:9" s="237" customFormat="1" ht="17.25" customHeight="1">
      <c r="B61" s="238"/>
    </row>
    <row r="62" spans="2:9" s="237" customFormat="1" ht="17.25" customHeight="1">
      <c r="B62" s="238"/>
    </row>
    <row r="63" spans="2:9" s="237" customFormat="1" ht="17.25" customHeight="1">
      <c r="B63" s="238"/>
    </row>
    <row r="64" spans="2:9" ht="17.25" customHeight="1">
      <c r="B64" s="129"/>
    </row>
    <row r="65" spans="2:6" ht="17.25" customHeight="1">
      <c r="B65" s="129"/>
    </row>
    <row r="66" spans="2:6" ht="17.25" customHeight="1">
      <c r="B66" s="129"/>
    </row>
    <row r="67" spans="2:6">
      <c r="C67" s="156"/>
      <c r="D67" s="130"/>
      <c r="E67" s="130"/>
      <c r="F67" s="130"/>
    </row>
    <row r="68" spans="2:6">
      <c r="C68" s="130"/>
      <c r="D68" s="130"/>
      <c r="E68" s="130"/>
      <c r="F68" s="130"/>
    </row>
    <row r="69" spans="2:6">
      <c r="C69" s="130"/>
      <c r="D69" s="130"/>
      <c r="E69" s="130"/>
      <c r="F69" s="130"/>
    </row>
  </sheetData>
  <mergeCells count="9">
    <mergeCell ref="B31:C31"/>
    <mergeCell ref="P4:AC4"/>
    <mergeCell ref="A1:B1"/>
    <mergeCell ref="A4:A6"/>
    <mergeCell ref="B4:B6"/>
    <mergeCell ref="C4:C6"/>
    <mergeCell ref="E4:F4"/>
    <mergeCell ref="D4:D5"/>
    <mergeCell ref="G4:O4"/>
  </mergeCells>
  <phoneticPr fontId="2" type="noConversion"/>
  <printOptions horizontalCentered="1" verticalCentered="1"/>
  <pageMargins left="0.31496062992125984" right="0.27559055118110237" top="0.71" bottom="0.85" header="0.34" footer="0.41"/>
  <pageSetup paperSize="9" scale="85" orientation="landscape" r:id="rId1"/>
  <headerFooter alignWithMargins="0"/>
  <colBreaks count="1" manualBreakCount="1">
    <brk id="15" max="22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3" tint="-0.249977111117893"/>
  </sheetPr>
  <dimension ref="A1:C9"/>
  <sheetViews>
    <sheetView workbookViewId="0">
      <selection activeCell="C15" sqref="C15"/>
    </sheetView>
  </sheetViews>
  <sheetFormatPr defaultColWidth="8.69921875" defaultRowHeight="15.6"/>
  <cols>
    <col min="1" max="1" width="8.69921875" style="28"/>
    <col min="2" max="2" width="12.8984375" style="37" customWidth="1"/>
    <col min="3" max="3" width="65.19921875" style="31" customWidth="1"/>
    <col min="4" max="16384" width="8.69921875" style="31"/>
  </cols>
  <sheetData>
    <row r="1" spans="1:3" ht="23.4" customHeight="1">
      <c r="A1" s="28">
        <v>1</v>
      </c>
      <c r="B1" s="29" t="s">
        <v>40</v>
      </c>
      <c r="C1" s="32" t="s">
        <v>214</v>
      </c>
    </row>
    <row r="2" spans="1:3" ht="23.4" customHeight="1">
      <c r="A2" s="28">
        <v>2</v>
      </c>
      <c r="B2" s="29" t="s">
        <v>41</v>
      </c>
      <c r="C2" s="32" t="s">
        <v>199</v>
      </c>
    </row>
    <row r="3" spans="1:3" ht="23.4" customHeight="1">
      <c r="A3" s="28">
        <v>3</v>
      </c>
      <c r="B3" s="33" t="s">
        <v>42</v>
      </c>
      <c r="C3" s="34" t="s">
        <v>200</v>
      </c>
    </row>
    <row r="4" spans="1:3" ht="23.4" customHeight="1">
      <c r="A4" s="28">
        <v>4</v>
      </c>
      <c r="B4" s="33" t="s">
        <v>43</v>
      </c>
      <c r="C4" s="32" t="s">
        <v>44</v>
      </c>
    </row>
    <row r="5" spans="1:3" ht="23.4" customHeight="1">
      <c r="A5" s="28">
        <v>5</v>
      </c>
      <c r="B5" s="33" t="s">
        <v>45</v>
      </c>
      <c r="C5" s="32" t="s">
        <v>46</v>
      </c>
    </row>
    <row r="6" spans="1:3" ht="23.4" customHeight="1">
      <c r="A6" s="28">
        <v>6</v>
      </c>
      <c r="B6" s="33" t="s">
        <v>47</v>
      </c>
      <c r="C6" s="32" t="s">
        <v>211</v>
      </c>
    </row>
    <row r="7" spans="1:3" s="30" customFormat="1" ht="23.4" customHeight="1">
      <c r="A7" s="35">
        <v>7</v>
      </c>
      <c r="B7" s="36"/>
      <c r="C7" s="30" t="str">
        <f>""&amp;C1&amp;"基础资料表"</f>
        <v>甘肃省临泽县锯条山2号冶金用石英岩矿出让收益评估基础资料表</v>
      </c>
    </row>
    <row r="8" spans="1:3" ht="23.4" customHeight="1"/>
    <row r="9" spans="1:3" ht="23.4" customHeight="1"/>
  </sheetData>
  <phoneticPr fontId="29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9"/>
  <sheetViews>
    <sheetView view="pageBreakPreview" zoomScale="85" zoomScaleNormal="100" zoomScaleSheetLayoutView="85" workbookViewId="0">
      <selection activeCell="I28" sqref="I28"/>
    </sheetView>
  </sheetViews>
  <sheetFormatPr defaultColWidth="8.69921875" defaultRowHeight="15"/>
  <cols>
    <col min="1" max="1" width="16.69921875" style="141" customWidth="1"/>
    <col min="2" max="2" width="11.69921875" style="142" customWidth="1"/>
    <col min="3" max="3" width="11.69921875" style="143" customWidth="1"/>
    <col min="4" max="4" width="11.69921875" style="142" customWidth="1"/>
    <col min="5" max="5" width="12.8984375" style="141" customWidth="1"/>
    <col min="6" max="16" width="8.69921875" style="140"/>
    <col min="17" max="17" width="4" style="140" customWidth="1"/>
    <col min="18" max="16384" width="8.69921875" style="140"/>
  </cols>
  <sheetData>
    <row r="1" spans="1:5" ht="31.95" customHeight="1">
      <c r="A1" s="397" t="s">
        <v>117</v>
      </c>
      <c r="B1" s="397"/>
      <c r="C1" s="397"/>
      <c r="D1" s="397"/>
      <c r="E1" s="397"/>
    </row>
    <row r="2" spans="1:5" ht="19.95" customHeight="1">
      <c r="A2" s="151" t="s">
        <v>118</v>
      </c>
      <c r="B2" s="152" t="s">
        <v>119</v>
      </c>
      <c r="C2" s="153" t="s">
        <v>120</v>
      </c>
      <c r="D2" s="152" t="s">
        <v>121</v>
      </c>
      <c r="E2" s="151" t="s">
        <v>122</v>
      </c>
    </row>
    <row r="3" spans="1:5" ht="19.95" customHeight="1">
      <c r="A3" s="145">
        <v>40724</v>
      </c>
      <c r="B3" s="116">
        <v>2389</v>
      </c>
      <c r="C3" s="144">
        <v>0.17</v>
      </c>
      <c r="D3" s="116">
        <f>B3/(1+C3)</f>
        <v>2041.88</v>
      </c>
      <c r="E3" s="146"/>
    </row>
    <row r="4" spans="1:5" ht="19.95" customHeight="1">
      <c r="A4" s="145">
        <v>40908</v>
      </c>
      <c r="B4" s="116">
        <v>2852</v>
      </c>
      <c r="C4" s="144">
        <v>0.17</v>
      </c>
      <c r="D4" s="116">
        <f t="shared" ref="D4:D25" si="0">B4/(1+C4)</f>
        <v>2437.61</v>
      </c>
      <c r="E4" s="146"/>
    </row>
    <row r="5" spans="1:5" ht="19.95" customHeight="1">
      <c r="A5" s="145">
        <v>41090</v>
      </c>
      <c r="B5" s="116">
        <v>2300</v>
      </c>
      <c r="C5" s="144">
        <v>0.17</v>
      </c>
      <c r="D5" s="116">
        <f t="shared" si="0"/>
        <v>1965.81</v>
      </c>
      <c r="E5" s="146"/>
    </row>
    <row r="6" spans="1:5" ht="19.95" customHeight="1">
      <c r="A6" s="145">
        <v>41274</v>
      </c>
      <c r="B6" s="116">
        <v>1821</v>
      </c>
      <c r="C6" s="144">
        <v>0.17</v>
      </c>
      <c r="D6" s="116">
        <f t="shared" si="0"/>
        <v>1556.41</v>
      </c>
      <c r="E6" s="146"/>
    </row>
    <row r="7" spans="1:5" ht="19.95" customHeight="1">
      <c r="A7" s="145">
        <v>41455</v>
      </c>
      <c r="B7" s="116">
        <v>1670</v>
      </c>
      <c r="C7" s="144">
        <v>0.17</v>
      </c>
      <c r="D7" s="116">
        <f t="shared" si="0"/>
        <v>1427.35</v>
      </c>
      <c r="E7" s="146"/>
    </row>
    <row r="8" spans="1:5" ht="19.95" customHeight="1">
      <c r="A8" s="145">
        <v>41639</v>
      </c>
      <c r="B8" s="116">
        <v>1670</v>
      </c>
      <c r="C8" s="144">
        <v>0.17</v>
      </c>
      <c r="D8" s="116">
        <f t="shared" si="0"/>
        <v>1427.35</v>
      </c>
      <c r="E8" s="146"/>
    </row>
    <row r="9" spans="1:5" ht="19.95" customHeight="1">
      <c r="A9" s="145">
        <v>41820</v>
      </c>
      <c r="B9" s="116">
        <v>1650</v>
      </c>
      <c r="C9" s="144">
        <v>0.17</v>
      </c>
      <c r="D9" s="116">
        <f t="shared" si="0"/>
        <v>1410.26</v>
      </c>
      <c r="E9" s="146"/>
    </row>
    <row r="10" spans="1:5" ht="19.95" customHeight="1">
      <c r="A10" s="145">
        <v>42004</v>
      </c>
      <c r="B10" s="116">
        <v>1547</v>
      </c>
      <c r="C10" s="144">
        <v>0.17</v>
      </c>
      <c r="D10" s="116">
        <f t="shared" si="0"/>
        <v>1322.22</v>
      </c>
      <c r="E10" s="146"/>
    </row>
    <row r="11" spans="1:5" ht="19.95" customHeight="1">
      <c r="A11" s="145">
        <v>42185</v>
      </c>
      <c r="B11" s="116">
        <v>1540</v>
      </c>
      <c r="C11" s="144">
        <v>0.17</v>
      </c>
      <c r="D11" s="116">
        <f t="shared" si="0"/>
        <v>1316.24</v>
      </c>
      <c r="E11" s="146"/>
    </row>
    <row r="12" spans="1:5" ht="19.95" customHeight="1">
      <c r="A12" s="145">
        <v>42369</v>
      </c>
      <c r="B12" s="116">
        <v>1490</v>
      </c>
      <c r="C12" s="144">
        <v>0.17</v>
      </c>
      <c r="D12" s="116">
        <f t="shared" si="0"/>
        <v>1273.5</v>
      </c>
      <c r="E12" s="146"/>
    </row>
    <row r="13" spans="1:5" ht="19.95" customHeight="1">
      <c r="A13" s="145">
        <v>42551</v>
      </c>
      <c r="B13" s="116">
        <v>1480</v>
      </c>
      <c r="C13" s="144">
        <v>0.17</v>
      </c>
      <c r="D13" s="116">
        <f>B13/(1+C13)</f>
        <v>1264.96</v>
      </c>
      <c r="E13" s="146"/>
    </row>
    <row r="14" spans="1:5" ht="19.95" customHeight="1">
      <c r="A14" s="145">
        <v>42735</v>
      </c>
      <c r="B14" s="116">
        <v>1400</v>
      </c>
      <c r="C14" s="144">
        <v>0.17</v>
      </c>
      <c r="D14" s="116">
        <f t="shared" si="0"/>
        <v>1196.58</v>
      </c>
      <c r="E14" s="146"/>
    </row>
    <row r="15" spans="1:5" ht="19.95" customHeight="1">
      <c r="A15" s="145">
        <v>42916</v>
      </c>
      <c r="B15" s="116">
        <v>1792</v>
      </c>
      <c r="C15" s="144">
        <v>0.17</v>
      </c>
      <c r="D15" s="116">
        <f t="shared" si="0"/>
        <v>1531.62</v>
      </c>
      <c r="E15" s="146"/>
    </row>
    <row r="16" spans="1:5" ht="19.95" customHeight="1">
      <c r="A16" s="145">
        <v>43100</v>
      </c>
      <c r="B16" s="116">
        <v>2257</v>
      </c>
      <c r="C16" s="144">
        <v>0.17</v>
      </c>
      <c r="D16" s="116">
        <f t="shared" si="0"/>
        <v>1929.06</v>
      </c>
      <c r="E16" s="146"/>
    </row>
    <row r="17" spans="1:5" ht="19.95" customHeight="1">
      <c r="A17" s="145">
        <v>43281</v>
      </c>
      <c r="B17" s="116">
        <v>2700</v>
      </c>
      <c r="C17" s="144">
        <v>0.17</v>
      </c>
      <c r="D17" s="116">
        <f t="shared" si="0"/>
        <v>2307.69</v>
      </c>
      <c r="E17" s="147">
        <v>43220</v>
      </c>
    </row>
    <row r="18" spans="1:5" ht="19.95" customHeight="1">
      <c r="A18" s="145">
        <v>43465</v>
      </c>
      <c r="B18" s="116">
        <v>3512</v>
      </c>
      <c r="C18" s="144">
        <v>0.16</v>
      </c>
      <c r="D18" s="116">
        <f t="shared" si="0"/>
        <v>3027.59</v>
      </c>
      <c r="E18" s="147">
        <v>43221</v>
      </c>
    </row>
    <row r="19" spans="1:5" ht="19.95" customHeight="1">
      <c r="A19" s="145">
        <v>43646</v>
      </c>
      <c r="B19" s="116">
        <v>2837</v>
      </c>
      <c r="C19" s="144">
        <v>0.16</v>
      </c>
      <c r="D19" s="116">
        <f t="shared" si="0"/>
        <v>2445.69</v>
      </c>
      <c r="E19" s="147">
        <v>43555</v>
      </c>
    </row>
    <row r="20" spans="1:5" ht="19.95" customHeight="1">
      <c r="A20" s="145">
        <v>43830</v>
      </c>
      <c r="B20" s="116">
        <v>2837</v>
      </c>
      <c r="C20" s="144">
        <v>0.13</v>
      </c>
      <c r="D20" s="116">
        <f t="shared" si="0"/>
        <v>2510.62</v>
      </c>
      <c r="E20" s="147">
        <v>43556</v>
      </c>
    </row>
    <row r="21" spans="1:5" ht="19.95" customHeight="1">
      <c r="A21" s="145">
        <v>44012</v>
      </c>
      <c r="B21" s="116">
        <v>2666</v>
      </c>
      <c r="C21" s="144">
        <v>0.13</v>
      </c>
      <c r="D21" s="116">
        <f t="shared" si="0"/>
        <v>2359.29</v>
      </c>
      <c r="E21" s="146"/>
    </row>
    <row r="22" spans="1:5" ht="19.95" customHeight="1">
      <c r="A22" s="145">
        <v>44196</v>
      </c>
      <c r="B22" s="116">
        <v>2730</v>
      </c>
      <c r="C22" s="144">
        <v>0.13</v>
      </c>
      <c r="D22" s="116">
        <f>B22/(1+C22)</f>
        <v>2415.9299999999998</v>
      </c>
      <c r="E22" s="146"/>
    </row>
    <row r="23" spans="1:5" ht="19.95" customHeight="1">
      <c r="A23" s="145">
        <v>44377</v>
      </c>
      <c r="B23" s="116">
        <v>2666</v>
      </c>
      <c r="C23" s="144">
        <v>0.13</v>
      </c>
      <c r="D23" s="116">
        <f t="shared" si="0"/>
        <v>2359.29</v>
      </c>
      <c r="E23" s="146"/>
    </row>
    <row r="24" spans="1:5" ht="19.95" customHeight="1">
      <c r="A24" s="145">
        <v>44561</v>
      </c>
      <c r="B24" s="116">
        <v>2750</v>
      </c>
      <c r="C24" s="144">
        <v>0.13</v>
      </c>
      <c r="D24" s="116">
        <f t="shared" si="0"/>
        <v>2433.63</v>
      </c>
      <c r="E24" s="146"/>
    </row>
    <row r="25" spans="1:5" ht="19.95" customHeight="1">
      <c r="A25" s="145">
        <v>44742</v>
      </c>
      <c r="B25" s="116">
        <v>2781</v>
      </c>
      <c r="C25" s="144">
        <v>0.13</v>
      </c>
      <c r="D25" s="116">
        <f t="shared" si="0"/>
        <v>2461.06</v>
      </c>
      <c r="E25" s="146"/>
    </row>
    <row r="26" spans="1:5" ht="24" customHeight="1">
      <c r="A26" s="148" t="s">
        <v>114</v>
      </c>
      <c r="B26" s="149">
        <f>SUM(B3:B25)/23</f>
        <v>2232.04</v>
      </c>
      <c r="C26" s="150"/>
      <c r="D26" s="149">
        <f>SUM(D3:D25)/23</f>
        <v>1931.38</v>
      </c>
      <c r="E26" s="146"/>
    </row>
    <row r="27" spans="1:5" ht="24" customHeight="1">
      <c r="A27" s="148" t="s">
        <v>115</v>
      </c>
      <c r="B27" s="149">
        <f>SUM(B6:B25)/20</f>
        <v>2189.8000000000002</v>
      </c>
      <c r="C27" s="150"/>
      <c r="D27" s="149">
        <f>SUM(D6:D25)/20</f>
        <v>1898.82</v>
      </c>
      <c r="E27" s="146"/>
    </row>
    <row r="28" spans="1:5" ht="24" customHeight="1">
      <c r="A28" s="148" t="s">
        <v>116</v>
      </c>
      <c r="B28" s="149">
        <f>SUM(B10:B25)/16</f>
        <v>2311.56</v>
      </c>
      <c r="C28" s="150"/>
      <c r="D28" s="149">
        <f>SUM(D10:D25)/16</f>
        <v>2009.69</v>
      </c>
      <c r="E28" s="146"/>
    </row>
    <row r="29" spans="1:5" ht="31.95" customHeight="1">
      <c r="A29" s="398" t="s">
        <v>123</v>
      </c>
      <c r="B29" s="399"/>
      <c r="C29" s="399"/>
      <c r="D29" s="399"/>
      <c r="E29" s="399"/>
    </row>
  </sheetData>
  <mergeCells count="2">
    <mergeCell ref="A1:E1"/>
    <mergeCell ref="A29:E29"/>
  </mergeCells>
  <phoneticPr fontId="29" type="noConversion"/>
  <printOptions horizontalCentered="1" verticalCentered="1"/>
  <pageMargins left="0.70866141732283472" right="0.70866141732283472" top="0.51181102362204722" bottom="0.62992125984251968" header="0.47244094488188981" footer="0.59055118110236227"/>
  <pageSetup paperSize="9" orientation="portrait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N18"/>
  <sheetViews>
    <sheetView zoomScaleNormal="100" workbookViewId="0">
      <selection activeCell="J15" sqref="I15:J16"/>
    </sheetView>
  </sheetViews>
  <sheetFormatPr defaultColWidth="8.69921875" defaultRowHeight="15.6"/>
  <cols>
    <col min="1" max="1" width="7" style="31" customWidth="1"/>
    <col min="2" max="2" width="10.19921875" style="31" customWidth="1"/>
    <col min="3" max="3" width="24.69921875" style="31" customWidth="1"/>
    <col min="4" max="4" width="6.3984375" style="28" customWidth="1"/>
    <col min="5" max="5" width="17.19921875" style="28" customWidth="1"/>
    <col min="6" max="7" width="5.09765625" style="31" customWidth="1"/>
    <col min="8" max="8" width="17" style="31" customWidth="1"/>
    <col min="9" max="9" width="6.3984375" style="31" customWidth="1"/>
    <col min="10" max="10" width="6.8984375" style="31" customWidth="1"/>
    <col min="11" max="11" width="6.09765625" style="31" customWidth="1"/>
    <col min="12" max="12" width="5.19921875" style="31" customWidth="1"/>
    <col min="13" max="13" width="11.09765625" style="268" bestFit="1" customWidth="1"/>
    <col min="14" max="16384" width="8.69921875" style="31"/>
  </cols>
  <sheetData>
    <row r="1" spans="1:14" s="166" customFormat="1" ht="27" customHeight="1">
      <c r="A1" s="166" t="s">
        <v>167</v>
      </c>
      <c r="C1" s="211"/>
      <c r="D1" s="212"/>
      <c r="E1" s="212"/>
      <c r="M1" s="266"/>
    </row>
    <row r="2" spans="1:14" s="213" customFormat="1" ht="36" customHeight="1">
      <c r="A2" s="365" t="str">
        <f>""&amp;基础资料!C1&amp;"可采储量及矿山服务年限估算表"</f>
        <v>甘肃省临泽县锯条山2号冶金用石英岩矿出让收益评估可采储量及矿山服务年限估算表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267"/>
    </row>
    <row r="3" spans="1:14" s="323" customFormat="1" ht="18" customHeight="1">
      <c r="A3" s="323" t="str">
        <f>基础资料!C2</f>
        <v>评估委托人：临泽县自然资源局</v>
      </c>
      <c r="D3" s="324"/>
      <c r="E3" s="324" t="str">
        <f>基础资料!C3</f>
        <v>评估基准日：2023年8月31日</v>
      </c>
      <c r="F3" s="325"/>
      <c r="G3" s="325"/>
      <c r="M3" s="326"/>
    </row>
    <row r="4" spans="1:14" s="216" customFormat="1" ht="43.2" customHeight="1">
      <c r="A4" s="358" t="s">
        <v>204</v>
      </c>
      <c r="B4" s="358" t="s">
        <v>128</v>
      </c>
      <c r="C4" s="327" t="s">
        <v>201</v>
      </c>
      <c r="D4" s="358" t="s">
        <v>165</v>
      </c>
      <c r="E4" s="265" t="s">
        <v>162</v>
      </c>
      <c r="F4" s="368" t="s">
        <v>163</v>
      </c>
      <c r="G4" s="366" t="s">
        <v>164</v>
      </c>
      <c r="H4" s="217" t="s">
        <v>139</v>
      </c>
      <c r="I4" s="361" t="s">
        <v>202</v>
      </c>
      <c r="J4" s="363" t="s">
        <v>203</v>
      </c>
      <c r="K4" s="360" t="s">
        <v>160</v>
      </c>
      <c r="L4" s="360" t="s">
        <v>161</v>
      </c>
      <c r="M4" s="259"/>
    </row>
    <row r="5" spans="1:14" s="216" customFormat="1" ht="40.950000000000003" customHeight="1">
      <c r="A5" s="369"/>
      <c r="B5" s="369"/>
      <c r="C5" s="217" t="s">
        <v>125</v>
      </c>
      <c r="D5" s="359"/>
      <c r="E5" s="217" t="str">
        <f>C5</f>
        <v>矿石量
万吨</v>
      </c>
      <c r="F5" s="368"/>
      <c r="G5" s="367"/>
      <c r="H5" s="217" t="str">
        <f>E5</f>
        <v>矿石量
万吨</v>
      </c>
      <c r="I5" s="362"/>
      <c r="J5" s="364"/>
      <c r="K5" s="360"/>
      <c r="L5" s="360"/>
      <c r="M5" s="259"/>
    </row>
    <row r="6" spans="1:14" s="216" customFormat="1" ht="34.950000000000003" customHeight="1">
      <c r="A6" s="357" t="s">
        <v>124</v>
      </c>
      <c r="B6" s="218" t="s">
        <v>126</v>
      </c>
      <c r="C6" s="219">
        <v>58.95</v>
      </c>
      <c r="D6" s="220">
        <v>1</v>
      </c>
      <c r="E6" s="219">
        <f>C6*D6</f>
        <v>58.95</v>
      </c>
      <c r="F6" s="264">
        <v>90</v>
      </c>
      <c r="G6" s="264">
        <v>10</v>
      </c>
      <c r="H6" s="219">
        <f>ROUND(E6*F6%,2)</f>
        <v>53.06</v>
      </c>
      <c r="I6" s="260">
        <v>10</v>
      </c>
      <c r="J6" s="328">
        <v>0.15</v>
      </c>
      <c r="K6" s="219"/>
      <c r="L6" s="260"/>
      <c r="M6" s="259"/>
    </row>
    <row r="7" spans="1:14" s="216" customFormat="1" ht="34.950000000000003" customHeight="1">
      <c r="A7" s="357"/>
      <c r="B7" s="218" t="s">
        <v>127</v>
      </c>
      <c r="C7" s="219">
        <v>136.58000000000001</v>
      </c>
      <c r="D7" s="220">
        <v>0.7</v>
      </c>
      <c r="E7" s="219">
        <f>C7*D7</f>
        <v>95.61</v>
      </c>
      <c r="F7" s="264">
        <v>90</v>
      </c>
      <c r="G7" s="264">
        <v>10</v>
      </c>
      <c r="H7" s="219">
        <f>ROUND(E7*F7%,2)</f>
        <v>86.05</v>
      </c>
      <c r="I7" s="260">
        <v>10</v>
      </c>
      <c r="J7" s="328">
        <v>0.15</v>
      </c>
      <c r="K7" s="219"/>
      <c r="L7" s="260"/>
      <c r="M7" s="259"/>
    </row>
    <row r="8" spans="1:14" s="216" customFormat="1" ht="34.950000000000003" customHeight="1">
      <c r="A8" s="357"/>
      <c r="B8" s="218" t="s">
        <v>129</v>
      </c>
      <c r="C8" s="219">
        <f>SUM(C6:C7)</f>
        <v>195.53</v>
      </c>
      <c r="D8" s="220"/>
      <c r="E8" s="219">
        <f>SUM(E6:E7)</f>
        <v>154.56</v>
      </c>
      <c r="F8" s="264"/>
      <c r="G8" s="264"/>
      <c r="H8" s="219">
        <f>SUM(H6:H7)</f>
        <v>139.11000000000001</v>
      </c>
      <c r="I8" s="260">
        <v>10</v>
      </c>
      <c r="J8" s="328">
        <v>0.15</v>
      </c>
      <c r="K8" s="219">
        <f>ROUND(H8/I8/(1-J8),2)</f>
        <v>16.37</v>
      </c>
      <c r="L8" s="219">
        <f>K8</f>
        <v>16.37</v>
      </c>
      <c r="M8" s="243">
        <f>(L8-22)*12</f>
        <v>-67.56</v>
      </c>
      <c r="N8" s="322" t="s">
        <v>166</v>
      </c>
    </row>
    <row r="9" spans="1:14" s="167" customFormat="1" ht="19.95" customHeight="1">
      <c r="A9" s="215" t="str">
        <f>基础资料!C4</f>
        <v>评估机构：北京中煤思维咨询有限公司</v>
      </c>
      <c r="D9" s="168"/>
      <c r="E9" s="214" t="str">
        <f>基础资料!C5</f>
        <v>审核：左和军</v>
      </c>
      <c r="F9" s="215"/>
      <c r="G9" s="215"/>
      <c r="L9" s="168" t="str">
        <f>基础资料!C6</f>
        <v>制表：冯俊龙</v>
      </c>
      <c r="M9" s="236"/>
    </row>
    <row r="10" spans="1:14" s="167" customFormat="1" ht="19.95" customHeight="1">
      <c r="A10" s="215"/>
      <c r="D10" s="168"/>
      <c r="E10" s="214"/>
      <c r="F10" s="215"/>
      <c r="G10" s="215"/>
      <c r="H10" s="164"/>
      <c r="L10" s="168"/>
      <c r="M10" s="236"/>
    </row>
    <row r="11" spans="1:14" s="236" customFormat="1" ht="19.95" customHeight="1">
      <c r="A11" s="239"/>
      <c r="C11" s="275"/>
      <c r="D11" s="240"/>
      <c r="E11" s="241"/>
      <c r="F11" s="239"/>
      <c r="G11" s="239"/>
      <c r="L11" s="240"/>
    </row>
    <row r="12" spans="1:14" s="236" customFormat="1" ht="19.95" customHeight="1">
      <c r="A12" s="239"/>
      <c r="D12" s="240"/>
      <c r="E12" s="241"/>
      <c r="F12" s="239"/>
      <c r="G12" s="239"/>
      <c r="L12" s="240"/>
    </row>
    <row r="13" spans="1:14" s="236" customFormat="1" ht="19.95" customHeight="1">
      <c r="A13" s="239"/>
      <c r="D13" s="240"/>
      <c r="E13" s="241"/>
      <c r="F13" s="239"/>
      <c r="G13" s="239"/>
      <c r="H13" s="341"/>
      <c r="L13" s="240"/>
    </row>
    <row r="14" spans="1:14" s="236" customFormat="1" ht="19.95" customHeight="1">
      <c r="A14" s="239"/>
      <c r="D14" s="240"/>
      <c r="E14" s="241"/>
      <c r="F14" s="239"/>
      <c r="G14" s="239"/>
      <c r="L14" s="240"/>
    </row>
    <row r="15" spans="1:14" s="236" customFormat="1" ht="19.95" customHeight="1">
      <c r="A15" s="239"/>
      <c r="D15" s="240"/>
      <c r="E15" s="241"/>
      <c r="F15" s="239"/>
      <c r="G15" s="239"/>
      <c r="L15" s="240"/>
    </row>
    <row r="16" spans="1:14" s="236" customFormat="1" ht="19.95" customHeight="1">
      <c r="A16" s="239"/>
      <c r="D16" s="240"/>
      <c r="E16" s="241"/>
      <c r="F16" s="239"/>
      <c r="G16" s="239"/>
      <c r="L16" s="240"/>
    </row>
    <row r="17" spans="1:13" s="242" customFormat="1" ht="19.95" customHeight="1">
      <c r="A17" s="247"/>
      <c r="D17" s="248"/>
      <c r="E17" s="249"/>
      <c r="F17" s="247"/>
      <c r="G17" s="247"/>
      <c r="L17" s="248"/>
      <c r="M17" s="236"/>
    </row>
    <row r="18" spans="1:13" s="242" customFormat="1" ht="19.95" customHeight="1">
      <c r="A18" s="247"/>
      <c r="D18" s="248"/>
      <c r="E18" s="249"/>
      <c r="F18" s="247"/>
      <c r="G18" s="247"/>
      <c r="L18" s="248"/>
      <c r="M18" s="236"/>
    </row>
  </sheetData>
  <mergeCells count="11">
    <mergeCell ref="A2:L2"/>
    <mergeCell ref="G4:G5"/>
    <mergeCell ref="F4:F5"/>
    <mergeCell ref="B4:B5"/>
    <mergeCell ref="A4:A5"/>
    <mergeCell ref="A6:A8"/>
    <mergeCell ref="D4:D5"/>
    <mergeCell ref="L4:L5"/>
    <mergeCell ref="I4:I5"/>
    <mergeCell ref="K4:K5"/>
    <mergeCell ref="J4:J5"/>
  </mergeCells>
  <phoneticPr fontId="2" type="noConversion"/>
  <printOptions horizontalCentered="1" verticalCentered="1"/>
  <pageMargins left="0.42" right="0.38" top="0.74803149606299213" bottom="0.98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AB16"/>
  <sheetViews>
    <sheetView zoomScaleNormal="100" zoomScaleSheetLayoutView="85" workbookViewId="0">
      <selection activeCell="D13" sqref="D13"/>
    </sheetView>
  </sheetViews>
  <sheetFormatPr defaultColWidth="9" defaultRowHeight="15.6"/>
  <cols>
    <col min="1" max="1" width="6.8984375" style="49" customWidth="1"/>
    <col min="2" max="2" width="23.3984375" style="49" customWidth="1"/>
    <col min="3" max="3" width="7" style="49" customWidth="1"/>
    <col min="4" max="27" width="8.19921875" style="74" customWidth="1"/>
    <col min="28" max="16384" width="9" style="49"/>
  </cols>
  <sheetData>
    <row r="1" spans="1:28" ht="27" customHeight="1">
      <c r="A1" s="169" t="s">
        <v>168</v>
      </c>
      <c r="B1" s="48"/>
    </row>
    <row r="2" spans="1:28" s="209" customFormat="1" ht="40.950000000000003" customHeight="1">
      <c r="B2" s="372"/>
      <c r="C2" s="372"/>
      <c r="D2" s="371" t="str">
        <f>""&amp;基础资料!C1&amp;"销售收入估算表（3-1）"</f>
        <v>甘肃省临泽县锯条山2号冶金用石英岩矿出让收益评估销售收入估算表（3-1）</v>
      </c>
      <c r="E2" s="371"/>
      <c r="F2" s="371"/>
      <c r="G2" s="371"/>
      <c r="H2" s="371"/>
      <c r="I2" s="371"/>
      <c r="J2" s="371"/>
      <c r="K2" s="371"/>
      <c r="L2" s="371"/>
      <c r="M2" s="371"/>
      <c r="N2" s="371"/>
      <c r="P2" s="210" t="str">
        <f>""&amp;基础资料!C1&amp;"销售收入估算表（3-2）"</f>
        <v>甘肃省临泽县锯条山2号冶金用石英岩矿出让收益评估销售收入估算表（3-2）</v>
      </c>
      <c r="R2" s="210"/>
      <c r="S2" s="210"/>
      <c r="T2" s="210"/>
      <c r="U2" s="210"/>
      <c r="V2" s="210"/>
      <c r="W2" s="210"/>
      <c r="X2" s="210"/>
      <c r="Y2" s="210"/>
      <c r="Z2" s="371"/>
      <c r="AA2" s="371"/>
      <c r="AB2" s="210"/>
    </row>
    <row r="3" spans="1:28" s="201" customFormat="1" ht="21.75" customHeight="1">
      <c r="A3" s="200" t="str">
        <f>基础资料!C2</f>
        <v>评估委托人：临泽县自然资源局</v>
      </c>
      <c r="D3" s="199"/>
      <c r="E3" s="199"/>
      <c r="F3" s="199"/>
      <c r="G3" s="200" t="str">
        <f>基础资料!C3</f>
        <v>评估基准日：2023年8月31日</v>
      </c>
      <c r="J3" s="200"/>
      <c r="O3" s="202" t="str">
        <f>AA3</f>
        <v>单位：万元</v>
      </c>
      <c r="S3" s="200" t="str">
        <f>G3</f>
        <v>评估基准日：2023年8月31日</v>
      </c>
      <c r="U3" s="200"/>
      <c r="AA3" s="202" t="str">
        <f>'1.评估价值估算'!AC3</f>
        <v>单位：万元</v>
      </c>
    </row>
    <row r="4" spans="1:28" s="46" customFormat="1" ht="40.200000000000003" customHeight="1">
      <c r="A4" s="370" t="s">
        <v>69</v>
      </c>
      <c r="B4" s="370" t="s">
        <v>71</v>
      </c>
      <c r="C4" s="370" t="s">
        <v>144</v>
      </c>
      <c r="D4" s="370" t="s">
        <v>142</v>
      </c>
      <c r="E4" s="73" t="str">
        <f>'1.评估价值估算'!G5</f>
        <v>2024年
3-12月</v>
      </c>
      <c r="F4" s="73" t="str">
        <f>'1.评估价值估算'!H5</f>
        <v>2025年</v>
      </c>
      <c r="G4" s="73" t="str">
        <f>'1.评估价值估算'!I5</f>
        <v>2026年</v>
      </c>
      <c r="H4" s="73" t="str">
        <f>'1.评估价值估算'!J5</f>
        <v>2027年</v>
      </c>
      <c r="I4" s="73" t="str">
        <f>'1.评估价值估算'!K5</f>
        <v>2028年</v>
      </c>
      <c r="J4" s="73" t="str">
        <f>'1.评估价值估算'!L5</f>
        <v>2029年</v>
      </c>
      <c r="K4" s="73" t="str">
        <f>'1.评估价值估算'!M5</f>
        <v>2030年</v>
      </c>
      <c r="L4" s="73" t="str">
        <f>'1.评估价值估算'!N5</f>
        <v>2031年</v>
      </c>
      <c r="M4" s="73" t="str">
        <f>'1.评估价值估算'!O5</f>
        <v>2032年</v>
      </c>
      <c r="N4" s="73" t="str">
        <f>'1.评估价值估算'!P5</f>
        <v>2033年</v>
      </c>
      <c r="O4" s="73" t="str">
        <f>'1.评估价值估算'!Q5</f>
        <v>2034年</v>
      </c>
      <c r="P4" s="73" t="str">
        <f>'1.评估价值估算'!R5</f>
        <v>2035年</v>
      </c>
      <c r="Q4" s="73" t="str">
        <f>'1.评估价值估算'!S5</f>
        <v>2036年</v>
      </c>
      <c r="R4" s="73" t="str">
        <f>'1.评估价值估算'!T5</f>
        <v>2037年</v>
      </c>
      <c r="S4" s="73" t="str">
        <f>'1.评估价值估算'!U5</f>
        <v>2038年</v>
      </c>
      <c r="T4" s="73" t="str">
        <f>'1.评估价值估算'!V5</f>
        <v>2039年</v>
      </c>
      <c r="U4" s="73" t="str">
        <f>'1.评估价值估算'!W5</f>
        <v>2040年
1-7月</v>
      </c>
      <c r="V4" s="73"/>
      <c r="W4" s="73"/>
      <c r="X4" s="73"/>
      <c r="Y4" s="73"/>
      <c r="Z4" s="73"/>
      <c r="AA4" s="73"/>
    </row>
    <row r="5" spans="1:28" s="46" customFormat="1" ht="34.950000000000003" customHeight="1">
      <c r="A5" s="370"/>
      <c r="B5" s="370"/>
      <c r="C5" s="370"/>
      <c r="D5" s="370"/>
      <c r="E5" s="183">
        <v>1</v>
      </c>
      <c r="F5" s="183">
        <v>2</v>
      </c>
      <c r="G5" s="183">
        <v>3</v>
      </c>
      <c r="H5" s="183">
        <v>4</v>
      </c>
      <c r="I5" s="183">
        <v>5</v>
      </c>
      <c r="J5" s="183">
        <v>6</v>
      </c>
      <c r="K5" s="183">
        <v>7</v>
      </c>
      <c r="L5" s="183">
        <v>8</v>
      </c>
      <c r="M5" s="183">
        <v>9</v>
      </c>
      <c r="N5" s="183">
        <v>10</v>
      </c>
      <c r="O5" s="183">
        <v>11</v>
      </c>
      <c r="P5" s="183">
        <v>12</v>
      </c>
      <c r="Q5" s="183">
        <v>13</v>
      </c>
      <c r="R5" s="183">
        <v>14</v>
      </c>
      <c r="S5" s="183">
        <v>15</v>
      </c>
      <c r="T5" s="183">
        <v>16</v>
      </c>
      <c r="U5" s="183">
        <v>17</v>
      </c>
      <c r="V5" s="183"/>
      <c r="W5" s="183"/>
      <c r="X5" s="183"/>
      <c r="Y5" s="183"/>
      <c r="Z5" s="183"/>
      <c r="AA5" s="183"/>
    </row>
    <row r="6" spans="1:28" s="46" customFormat="1" ht="36" customHeight="1">
      <c r="A6" s="208">
        <v>1</v>
      </c>
      <c r="B6" s="233" t="s">
        <v>194</v>
      </c>
      <c r="C6" s="73" t="s">
        <v>145</v>
      </c>
      <c r="D6" s="73">
        <f>SUM(E6:AA6)</f>
        <v>163.66</v>
      </c>
      <c r="E6" s="73">
        <f>'2.可采储量及服务年限'!I8/12*10</f>
        <v>8.33</v>
      </c>
      <c r="F6" s="73">
        <f>'2.可采储量及服务年限'!I8</f>
        <v>10</v>
      </c>
      <c r="G6" s="73">
        <f>F6</f>
        <v>10</v>
      </c>
      <c r="H6" s="73">
        <f t="shared" ref="H6:T6" si="0">G6</f>
        <v>10</v>
      </c>
      <c r="I6" s="73">
        <f t="shared" si="0"/>
        <v>10</v>
      </c>
      <c r="J6" s="73">
        <f t="shared" si="0"/>
        <v>10</v>
      </c>
      <c r="K6" s="73">
        <f t="shared" si="0"/>
        <v>10</v>
      </c>
      <c r="L6" s="73">
        <f t="shared" si="0"/>
        <v>10</v>
      </c>
      <c r="M6" s="73">
        <f t="shared" si="0"/>
        <v>10</v>
      </c>
      <c r="N6" s="73">
        <f t="shared" si="0"/>
        <v>10</v>
      </c>
      <c r="O6" s="73">
        <f t="shared" si="0"/>
        <v>10</v>
      </c>
      <c r="P6" s="73">
        <f t="shared" si="0"/>
        <v>10</v>
      </c>
      <c r="Q6" s="73">
        <f t="shared" si="0"/>
        <v>10</v>
      </c>
      <c r="R6" s="73">
        <f t="shared" si="0"/>
        <v>10</v>
      </c>
      <c r="S6" s="73">
        <f t="shared" si="0"/>
        <v>10</v>
      </c>
      <c r="T6" s="73">
        <f t="shared" si="0"/>
        <v>10</v>
      </c>
      <c r="U6" s="73">
        <v>5.33</v>
      </c>
      <c r="V6" s="73"/>
      <c r="W6" s="73"/>
      <c r="X6" s="73"/>
      <c r="Y6" s="73"/>
      <c r="Z6" s="73"/>
      <c r="AA6" s="73"/>
    </row>
    <row r="7" spans="1:28" s="46" customFormat="1" ht="36" customHeight="1">
      <c r="A7" s="208">
        <v>2</v>
      </c>
      <c r="B7" s="233" t="s">
        <v>195</v>
      </c>
      <c r="C7" s="73" t="s">
        <v>145</v>
      </c>
      <c r="D7" s="73">
        <f>SUM(E7:AA7)</f>
        <v>163.66</v>
      </c>
      <c r="E7" s="73">
        <f>E6</f>
        <v>8.33</v>
      </c>
      <c r="F7" s="73">
        <f t="shared" ref="F7:U7" si="1">F6</f>
        <v>10</v>
      </c>
      <c r="G7" s="73">
        <f t="shared" si="1"/>
        <v>10</v>
      </c>
      <c r="H7" s="73">
        <f t="shared" si="1"/>
        <v>10</v>
      </c>
      <c r="I7" s="73">
        <f t="shared" si="1"/>
        <v>10</v>
      </c>
      <c r="J7" s="73">
        <f t="shared" si="1"/>
        <v>10</v>
      </c>
      <c r="K7" s="73">
        <f t="shared" si="1"/>
        <v>10</v>
      </c>
      <c r="L7" s="73">
        <f t="shared" si="1"/>
        <v>10</v>
      </c>
      <c r="M7" s="73">
        <f t="shared" si="1"/>
        <v>10</v>
      </c>
      <c r="N7" s="73">
        <f t="shared" si="1"/>
        <v>10</v>
      </c>
      <c r="O7" s="73">
        <f t="shared" si="1"/>
        <v>10</v>
      </c>
      <c r="P7" s="73">
        <f t="shared" si="1"/>
        <v>10</v>
      </c>
      <c r="Q7" s="73">
        <f t="shared" si="1"/>
        <v>10</v>
      </c>
      <c r="R7" s="73">
        <f t="shared" si="1"/>
        <v>10</v>
      </c>
      <c r="S7" s="73">
        <f t="shared" si="1"/>
        <v>10</v>
      </c>
      <c r="T7" s="73">
        <f t="shared" si="1"/>
        <v>10</v>
      </c>
      <c r="U7" s="73">
        <f t="shared" si="1"/>
        <v>5.33</v>
      </c>
      <c r="V7" s="73"/>
      <c r="W7" s="73"/>
      <c r="X7" s="73"/>
      <c r="Y7" s="73"/>
      <c r="Z7" s="73"/>
      <c r="AA7" s="73"/>
    </row>
    <row r="8" spans="1:28" s="46" customFormat="1" ht="36" customHeight="1">
      <c r="A8" s="208">
        <v>3</v>
      </c>
      <c r="B8" s="233" t="s">
        <v>143</v>
      </c>
      <c r="C8" s="73" t="s">
        <v>146</v>
      </c>
      <c r="D8" s="73"/>
      <c r="E8" s="73">
        <f>ROUND(60/1.13,2)</f>
        <v>53.1</v>
      </c>
      <c r="F8" s="73">
        <f>E8</f>
        <v>53.1</v>
      </c>
      <c r="G8" s="73">
        <f t="shared" ref="G8:U8" si="2">F8</f>
        <v>53.1</v>
      </c>
      <c r="H8" s="73">
        <f t="shared" si="2"/>
        <v>53.1</v>
      </c>
      <c r="I8" s="73">
        <f t="shared" si="2"/>
        <v>53.1</v>
      </c>
      <c r="J8" s="73">
        <f t="shared" si="2"/>
        <v>53.1</v>
      </c>
      <c r="K8" s="73">
        <f t="shared" si="2"/>
        <v>53.1</v>
      </c>
      <c r="L8" s="73">
        <f t="shared" si="2"/>
        <v>53.1</v>
      </c>
      <c r="M8" s="73">
        <f t="shared" si="2"/>
        <v>53.1</v>
      </c>
      <c r="N8" s="73">
        <f t="shared" si="2"/>
        <v>53.1</v>
      </c>
      <c r="O8" s="73">
        <f t="shared" si="2"/>
        <v>53.1</v>
      </c>
      <c r="P8" s="73">
        <f t="shared" si="2"/>
        <v>53.1</v>
      </c>
      <c r="Q8" s="73">
        <f t="shared" si="2"/>
        <v>53.1</v>
      </c>
      <c r="R8" s="73">
        <f t="shared" si="2"/>
        <v>53.1</v>
      </c>
      <c r="S8" s="73">
        <f t="shared" si="2"/>
        <v>53.1</v>
      </c>
      <c r="T8" s="73">
        <f t="shared" si="2"/>
        <v>53.1</v>
      </c>
      <c r="U8" s="73">
        <f t="shared" si="2"/>
        <v>53.1</v>
      </c>
      <c r="V8" s="73"/>
      <c r="W8" s="73"/>
      <c r="X8" s="73"/>
      <c r="Y8" s="73"/>
      <c r="Z8" s="73"/>
      <c r="AA8" s="73"/>
    </row>
    <row r="9" spans="1:28" s="235" customFormat="1" ht="36" customHeight="1">
      <c r="A9" s="208">
        <v>4</v>
      </c>
      <c r="B9" s="269" t="s">
        <v>147</v>
      </c>
      <c r="C9" s="234" t="s">
        <v>157</v>
      </c>
      <c r="D9" s="234">
        <f>SUM(E9:AA9)</f>
        <v>8690.34</v>
      </c>
      <c r="E9" s="234">
        <f>E7*E8</f>
        <v>442.32</v>
      </c>
      <c r="F9" s="234">
        <f t="shared" ref="F9:U9" si="3">F7*F8</f>
        <v>531</v>
      </c>
      <c r="G9" s="234">
        <f t="shared" si="3"/>
        <v>531</v>
      </c>
      <c r="H9" s="234">
        <f t="shared" si="3"/>
        <v>531</v>
      </c>
      <c r="I9" s="234">
        <f t="shared" si="3"/>
        <v>531</v>
      </c>
      <c r="J9" s="234">
        <f t="shared" si="3"/>
        <v>531</v>
      </c>
      <c r="K9" s="234">
        <f t="shared" si="3"/>
        <v>531</v>
      </c>
      <c r="L9" s="234">
        <f t="shared" si="3"/>
        <v>531</v>
      </c>
      <c r="M9" s="234">
        <f t="shared" si="3"/>
        <v>531</v>
      </c>
      <c r="N9" s="234">
        <f t="shared" si="3"/>
        <v>531</v>
      </c>
      <c r="O9" s="234">
        <f t="shared" si="3"/>
        <v>531</v>
      </c>
      <c r="P9" s="234">
        <f t="shared" si="3"/>
        <v>531</v>
      </c>
      <c r="Q9" s="234">
        <f t="shared" si="3"/>
        <v>531</v>
      </c>
      <c r="R9" s="234">
        <f t="shared" si="3"/>
        <v>531</v>
      </c>
      <c r="S9" s="234">
        <f t="shared" si="3"/>
        <v>531</v>
      </c>
      <c r="T9" s="234">
        <f t="shared" si="3"/>
        <v>531</v>
      </c>
      <c r="U9" s="234">
        <f t="shared" si="3"/>
        <v>283.02</v>
      </c>
      <c r="V9" s="234"/>
      <c r="W9" s="234"/>
      <c r="X9" s="234"/>
      <c r="Y9" s="234"/>
      <c r="Z9" s="234"/>
      <c r="AA9" s="234"/>
    </row>
    <row r="10" spans="1:28" s="17" customFormat="1" ht="24" customHeight="1">
      <c r="A10" s="203" t="str">
        <f>基础资料!C4</f>
        <v>评估机构：北京中煤思维咨询有限公司</v>
      </c>
      <c r="B10" s="203"/>
      <c r="C10" s="203"/>
      <c r="D10" s="203"/>
      <c r="E10" s="203"/>
      <c r="F10" s="203"/>
      <c r="G10" s="203" t="str">
        <f>基础资料!C5</f>
        <v>审核：左和军</v>
      </c>
      <c r="O10" s="204" t="str">
        <f>AA10</f>
        <v>制表：冯俊龙</v>
      </c>
      <c r="S10" s="205" t="str">
        <f>G10</f>
        <v>审核：左和军</v>
      </c>
      <c r="AA10" s="204" t="str">
        <f>'1.评估价值估算'!AC23</f>
        <v>制表：冯俊龙</v>
      </c>
    </row>
    <row r="12" spans="1:28">
      <c r="A12" s="51"/>
      <c r="B12" s="51"/>
      <c r="C12" s="51"/>
      <c r="D12" s="206"/>
      <c r="E12" s="206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</row>
    <row r="13" spans="1:28">
      <c r="A13" s="51"/>
      <c r="B13" s="51"/>
      <c r="C13" s="51"/>
      <c r="D13" s="345">
        <f>D6-'2.可采储量及服务年限'!M12</f>
        <v>163.66</v>
      </c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</row>
    <row r="14" spans="1:28">
      <c r="A14" s="51"/>
      <c r="B14" s="51"/>
      <c r="C14" s="51"/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7"/>
      <c r="S14" s="207"/>
      <c r="T14" s="207"/>
      <c r="U14" s="336">
        <f>U6/T6*12</f>
        <v>6.4</v>
      </c>
      <c r="V14" s="207"/>
      <c r="W14" s="207"/>
      <c r="X14" s="207"/>
      <c r="Y14" s="207"/>
      <c r="Z14" s="207"/>
      <c r="AA14" s="207"/>
    </row>
    <row r="15" spans="1:28">
      <c r="A15" s="51"/>
      <c r="B15" s="51"/>
      <c r="C15" s="51"/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336"/>
      <c r="V15" s="207"/>
      <c r="W15" s="207"/>
      <c r="X15" s="207"/>
      <c r="Y15" s="207"/>
      <c r="Z15" s="207"/>
      <c r="AA15" s="207"/>
    </row>
    <row r="16" spans="1:28">
      <c r="A16" s="51"/>
      <c r="B16" s="51"/>
      <c r="C16" s="51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336"/>
      <c r="V16" s="207"/>
      <c r="W16" s="207"/>
      <c r="X16" s="207"/>
      <c r="Y16" s="207"/>
      <c r="Z16" s="207"/>
      <c r="AA16" s="207"/>
    </row>
  </sheetData>
  <mergeCells count="7">
    <mergeCell ref="A4:A5"/>
    <mergeCell ref="Z2:AA2"/>
    <mergeCell ref="B2:C2"/>
    <mergeCell ref="D2:N2"/>
    <mergeCell ref="D4:D5"/>
    <mergeCell ref="C4:C5"/>
    <mergeCell ref="B4:B5"/>
  </mergeCells>
  <phoneticPr fontId="2" type="noConversion"/>
  <printOptions horizontalCentered="1" verticalCentered="1"/>
  <pageMargins left="0.38" right="0.35" top="0.81" bottom="1.1499999999999999" header="0.51181102362204722" footer="0.51181102362204722"/>
  <pageSetup paperSize="9" scale="95" orientation="landscape" r:id="rId1"/>
  <headerFooter alignWithMargins="0"/>
  <colBreaks count="1" manualBreakCount="1">
    <brk id="15" max="7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36"/>
  <sheetViews>
    <sheetView zoomScaleNormal="100" zoomScaleSheetLayoutView="75" workbookViewId="0">
      <selection activeCell="C36" sqref="C36"/>
    </sheetView>
  </sheetViews>
  <sheetFormatPr defaultColWidth="9" defaultRowHeight="15.6"/>
  <cols>
    <col min="1" max="1" width="7.8984375" style="1" customWidth="1"/>
    <col min="2" max="2" width="18.59765625" style="1" customWidth="1"/>
    <col min="3" max="3" width="12.69921875" style="1" customWidth="1"/>
    <col min="4" max="4" width="18.59765625" style="1" customWidth="1"/>
    <col min="5" max="5" width="12.69921875" style="1" customWidth="1"/>
    <col min="6" max="6" width="18.59765625" style="1" customWidth="1"/>
    <col min="7" max="7" width="12.69921875" style="21" customWidth="1"/>
    <col min="8" max="8" width="19.09765625" style="21" customWidth="1"/>
    <col min="9" max="9" width="6.69921875" style="2" customWidth="1"/>
    <col min="10" max="10" width="10.69921875" style="176" customWidth="1"/>
    <col min="11" max="11" width="16.8984375" style="176" customWidth="1"/>
    <col min="12" max="12" width="11.19921875" style="1" customWidth="1"/>
    <col min="13" max="16384" width="9" style="1"/>
  </cols>
  <sheetData>
    <row r="1" spans="1:11" s="3" customFormat="1" ht="27" customHeight="1">
      <c r="A1" s="379" t="s">
        <v>3</v>
      </c>
      <c r="B1" s="379"/>
      <c r="C1" s="165"/>
      <c r="D1" s="165"/>
      <c r="E1" s="165"/>
      <c r="F1" s="19"/>
      <c r="G1" s="20"/>
      <c r="H1" s="20"/>
      <c r="I1" s="4"/>
      <c r="J1" s="174"/>
      <c r="K1" s="174"/>
    </row>
    <row r="2" spans="1:11" s="6" customFormat="1" ht="36.75" customHeight="1">
      <c r="A2" s="382" t="str">
        <f>""&amp;基础资料!C1&amp;"固定资产投资估算表"</f>
        <v>甘肃省临泽县锯条山2号冶金用石英岩矿出让收益评估固定资产投资估算表</v>
      </c>
      <c r="B2" s="382"/>
      <c r="C2" s="382"/>
      <c r="D2" s="382"/>
      <c r="E2" s="382"/>
      <c r="F2" s="382"/>
      <c r="G2" s="382"/>
      <c r="H2" s="382"/>
      <c r="I2" s="5"/>
      <c r="J2" s="174"/>
      <c r="K2" s="174"/>
    </row>
    <row r="3" spans="1:11" s="66" customFormat="1" ht="18.75" customHeight="1">
      <c r="A3" s="64" t="str">
        <f>'1.评估价值估算'!A3</f>
        <v>评估委托人：临泽县自然资源局</v>
      </c>
      <c r="B3" s="65"/>
      <c r="C3" s="65"/>
      <c r="D3" s="65"/>
      <c r="E3" s="115" t="str">
        <f>基础资料!C3</f>
        <v>评估基准日：2023年8月31日</v>
      </c>
      <c r="H3" s="67" t="s">
        <v>68</v>
      </c>
      <c r="I3" s="68"/>
      <c r="J3" s="175"/>
      <c r="K3" s="175"/>
    </row>
    <row r="4" spans="1:11" s="57" customFormat="1" ht="42" customHeight="1">
      <c r="A4" s="376" t="s">
        <v>69</v>
      </c>
      <c r="B4" s="378" t="s">
        <v>130</v>
      </c>
      <c r="C4" s="378"/>
      <c r="D4" s="378" t="s">
        <v>197</v>
      </c>
      <c r="E4" s="378"/>
      <c r="F4" s="380" t="s">
        <v>173</v>
      </c>
      <c r="G4" s="381"/>
      <c r="H4" s="376" t="s">
        <v>70</v>
      </c>
      <c r="I4" s="56"/>
      <c r="J4" s="56"/>
      <c r="K4" s="56"/>
    </row>
    <row r="5" spans="1:11" s="57" customFormat="1" ht="25.95" customHeight="1">
      <c r="A5" s="376"/>
      <c r="B5" s="58" t="s">
        <v>71</v>
      </c>
      <c r="C5" s="120" t="s">
        <v>169</v>
      </c>
      <c r="D5" s="58" t="s">
        <v>71</v>
      </c>
      <c r="E5" s="120" t="s">
        <v>169</v>
      </c>
      <c r="F5" s="58" t="s">
        <v>71</v>
      </c>
      <c r="G5" s="121" t="str">
        <f>C5</f>
        <v>投资</v>
      </c>
      <c r="H5" s="377"/>
      <c r="I5" s="83"/>
      <c r="J5" s="56"/>
      <c r="K5" s="56"/>
    </row>
    <row r="6" spans="1:11" s="63" customFormat="1" ht="26.4" customHeight="1">
      <c r="A6" s="59">
        <v>1</v>
      </c>
      <c r="B6" s="270" t="s">
        <v>170</v>
      </c>
      <c r="C6" s="171">
        <v>165</v>
      </c>
      <c r="D6" s="24" t="s">
        <v>159</v>
      </c>
      <c r="E6" s="171">
        <v>40</v>
      </c>
      <c r="F6" s="24" t="s">
        <v>209</v>
      </c>
      <c r="G6" s="61">
        <f>E6</f>
        <v>40</v>
      </c>
      <c r="H6" s="373" t="s">
        <v>198</v>
      </c>
      <c r="I6" s="84"/>
      <c r="J6" s="56"/>
      <c r="K6" s="56"/>
    </row>
    <row r="7" spans="1:11" s="63" customFormat="1" ht="26.4" customHeight="1">
      <c r="A7" s="59">
        <v>2</v>
      </c>
      <c r="B7" s="271" t="s">
        <v>72</v>
      </c>
      <c r="C7" s="171"/>
      <c r="D7" s="59" t="s">
        <v>72</v>
      </c>
      <c r="E7" s="171">
        <v>35</v>
      </c>
      <c r="F7" s="24" t="s">
        <v>0</v>
      </c>
      <c r="G7" s="61">
        <f t="shared" ref="G7:G8" si="0">E7</f>
        <v>35</v>
      </c>
      <c r="H7" s="374"/>
      <c r="I7" s="84"/>
      <c r="J7" s="56"/>
      <c r="K7" s="56"/>
    </row>
    <row r="8" spans="1:11" s="63" customFormat="1" ht="26.4" customHeight="1">
      <c r="A8" s="59">
        <v>3</v>
      </c>
      <c r="B8" s="270" t="s">
        <v>131</v>
      </c>
      <c r="C8" s="171"/>
      <c r="D8" s="59" t="s">
        <v>73</v>
      </c>
      <c r="E8" s="171">
        <f>C6-E6-E7</f>
        <v>90</v>
      </c>
      <c r="F8" s="59" t="s">
        <v>73</v>
      </c>
      <c r="G8" s="61">
        <f t="shared" si="0"/>
        <v>90</v>
      </c>
      <c r="H8" s="374"/>
      <c r="I8" s="84"/>
      <c r="J8" s="56"/>
      <c r="K8" s="56"/>
    </row>
    <row r="9" spans="1:11" s="63" customFormat="1" ht="26.4" customHeight="1">
      <c r="A9" s="59">
        <v>4</v>
      </c>
      <c r="B9" s="271" t="s">
        <v>74</v>
      </c>
      <c r="C9" s="171"/>
      <c r="D9" s="307" t="s">
        <v>196</v>
      </c>
      <c r="E9" s="171"/>
      <c r="F9" s="187"/>
      <c r="G9" s="187"/>
      <c r="H9" s="374"/>
      <c r="I9" s="62"/>
      <c r="J9" s="56"/>
      <c r="K9" s="56"/>
    </row>
    <row r="10" spans="1:11" s="63" customFormat="1" ht="26.4" customHeight="1">
      <c r="A10" s="276">
        <v>4.0999999999999996</v>
      </c>
      <c r="B10" s="186" t="s">
        <v>174</v>
      </c>
      <c r="C10" s="171"/>
      <c r="D10" s="171"/>
      <c r="E10" s="171"/>
      <c r="F10" s="187"/>
      <c r="G10" s="187"/>
      <c r="H10" s="374"/>
      <c r="I10" s="62"/>
      <c r="J10" s="56"/>
      <c r="K10" s="56"/>
    </row>
    <row r="11" spans="1:11" s="63" customFormat="1" ht="26.4" customHeight="1">
      <c r="A11" s="276">
        <v>4.2</v>
      </c>
      <c r="B11" s="186" t="s">
        <v>133</v>
      </c>
      <c r="C11" s="171"/>
      <c r="D11" s="171"/>
      <c r="E11" s="171"/>
      <c r="F11" s="187"/>
      <c r="G11" s="187"/>
      <c r="H11" s="374"/>
      <c r="I11" s="62"/>
      <c r="J11" s="56"/>
      <c r="K11" s="56"/>
    </row>
    <row r="12" spans="1:11" s="63" customFormat="1" ht="26.4" customHeight="1">
      <c r="A12" s="59">
        <v>5</v>
      </c>
      <c r="B12" s="270" t="s">
        <v>140</v>
      </c>
      <c r="C12" s="171"/>
      <c r="D12" s="171"/>
      <c r="E12" s="171"/>
      <c r="F12" s="187"/>
      <c r="G12" s="61"/>
      <c r="H12" s="374"/>
      <c r="I12" s="62"/>
      <c r="J12" s="56"/>
      <c r="K12" s="56"/>
    </row>
    <row r="13" spans="1:11" s="63" customFormat="1" ht="26.4" customHeight="1">
      <c r="A13" s="59">
        <v>6</v>
      </c>
      <c r="B13" s="24" t="s">
        <v>138</v>
      </c>
      <c r="C13" s="171">
        <f>SUM(C6:C9)</f>
        <v>165</v>
      </c>
      <c r="D13" s="24" t="s">
        <v>129</v>
      </c>
      <c r="E13" s="171">
        <f>SUM(E6:E12)</f>
        <v>165</v>
      </c>
      <c r="F13" s="121" t="s">
        <v>132</v>
      </c>
      <c r="G13" s="61">
        <f>SUM(G6:G8)</f>
        <v>165</v>
      </c>
      <c r="H13" s="374"/>
      <c r="I13" s="62"/>
      <c r="J13" s="56"/>
      <c r="K13" s="56"/>
    </row>
    <row r="14" spans="1:11" s="63" customFormat="1" ht="26.4" customHeight="1">
      <c r="A14" s="59"/>
      <c r="B14" s="24"/>
      <c r="C14" s="171"/>
      <c r="D14" s="171"/>
      <c r="E14" s="171"/>
      <c r="F14" s="122" t="s">
        <v>113</v>
      </c>
      <c r="G14" s="60">
        <v>18</v>
      </c>
      <c r="H14" s="375"/>
      <c r="I14" s="62"/>
      <c r="J14" s="56"/>
      <c r="K14" s="56"/>
    </row>
    <row r="15" spans="1:11" s="332" customFormat="1" ht="24" customHeight="1">
      <c r="A15" s="329" t="str">
        <f>基础资料!C4</f>
        <v>评估机构：北京中煤思维咨询有限公司</v>
      </c>
      <c r="B15" s="330"/>
      <c r="C15" s="330"/>
      <c r="D15" s="330"/>
      <c r="E15" s="331" t="str">
        <f>基础资料!C5</f>
        <v>审核：左和军</v>
      </c>
      <c r="H15" s="333" t="str">
        <f>基础资料!C6</f>
        <v>制表：冯俊龙</v>
      </c>
      <c r="I15" s="334"/>
      <c r="J15" s="335"/>
      <c r="K15" s="335"/>
    </row>
    <row r="16" spans="1:11" s="191" customFormat="1" ht="24" customHeight="1">
      <c r="A16" s="188"/>
      <c r="B16" s="189"/>
      <c r="C16" s="189"/>
      <c r="D16" s="189"/>
      <c r="E16" s="190"/>
      <c r="H16" s="192"/>
      <c r="I16" s="193"/>
      <c r="J16" s="56"/>
      <c r="K16" s="56"/>
    </row>
    <row r="17" spans="1:11" s="191" customFormat="1" ht="24" customHeight="1">
      <c r="A17" s="188"/>
      <c r="B17" s="189"/>
      <c r="C17" s="189"/>
      <c r="D17" s="189"/>
      <c r="E17" s="190"/>
      <c r="H17" s="192"/>
      <c r="I17" s="193"/>
      <c r="J17" s="56"/>
      <c r="K17" s="56"/>
    </row>
    <row r="18" spans="1:11" s="191" customFormat="1" ht="24" customHeight="1">
      <c r="A18" s="188"/>
      <c r="B18" s="189"/>
      <c r="C18" s="189"/>
      <c r="D18" s="189"/>
      <c r="E18" s="190"/>
      <c r="H18" s="192"/>
      <c r="I18" s="193"/>
      <c r="J18" s="56"/>
      <c r="K18" s="56"/>
    </row>
    <row r="19" spans="1:11" s="191" customFormat="1" ht="24" customHeight="1">
      <c r="A19" s="188"/>
      <c r="B19" s="189"/>
      <c r="C19" s="189"/>
      <c r="D19" s="189"/>
      <c r="E19" s="190"/>
      <c r="H19" s="192"/>
      <c r="I19" s="193"/>
      <c r="J19" s="56"/>
      <c r="K19" s="56"/>
    </row>
    <row r="20" spans="1:11" s="191" customFormat="1" ht="24" customHeight="1">
      <c r="A20" s="188"/>
      <c r="B20" s="189"/>
      <c r="C20" s="189"/>
      <c r="D20" s="189"/>
      <c r="E20" s="190"/>
      <c r="H20" s="192"/>
      <c r="I20" s="193"/>
      <c r="J20" s="56"/>
      <c r="K20" s="56"/>
    </row>
    <row r="21" spans="1:11" s="191" customFormat="1" ht="24" customHeight="1">
      <c r="A21" s="188"/>
      <c r="B21" s="189"/>
      <c r="C21" s="189"/>
      <c r="D21" s="189"/>
      <c r="E21" s="190"/>
      <c r="H21" s="192"/>
      <c r="I21" s="193"/>
      <c r="J21" s="56"/>
      <c r="K21" s="56"/>
    </row>
    <row r="22" spans="1:11" s="191" customFormat="1" ht="24" customHeight="1">
      <c r="A22" s="188"/>
      <c r="B22" s="189"/>
      <c r="C22" s="189"/>
      <c r="D22" s="189"/>
      <c r="E22" s="190"/>
      <c r="H22" s="192"/>
      <c r="I22" s="193"/>
      <c r="J22" s="56"/>
      <c r="K22" s="56"/>
    </row>
    <row r="23" spans="1:11" s="315" customFormat="1" ht="21" customHeight="1">
      <c r="A23" s="308">
        <v>1</v>
      </c>
      <c r="B23" s="309" t="s">
        <v>170</v>
      </c>
      <c r="C23" s="310">
        <v>1343.53</v>
      </c>
      <c r="D23" s="311"/>
      <c r="E23" s="311"/>
      <c r="F23" s="312"/>
      <c r="G23" s="313"/>
      <c r="H23" s="312"/>
      <c r="I23" s="314"/>
    </row>
    <row r="24" spans="1:11" s="320" customFormat="1">
      <c r="A24" s="316">
        <v>1.1000000000000001</v>
      </c>
      <c r="B24" s="317" t="s">
        <v>159</v>
      </c>
      <c r="C24" s="310">
        <v>120</v>
      </c>
      <c r="D24" s="309"/>
      <c r="E24" s="312"/>
      <c r="F24" s="312"/>
      <c r="G24" s="318"/>
      <c r="H24" s="318"/>
      <c r="I24" s="319"/>
    </row>
    <row r="25" spans="1:11" s="320" customFormat="1">
      <c r="A25" s="316">
        <v>1.2</v>
      </c>
      <c r="B25" s="321" t="s">
        <v>171</v>
      </c>
      <c r="C25" s="310">
        <v>200</v>
      </c>
      <c r="D25" s="312"/>
      <c r="E25" s="312"/>
      <c r="F25" s="312"/>
      <c r="G25" s="318"/>
      <c r="H25" s="318"/>
      <c r="I25" s="319"/>
    </row>
    <row r="26" spans="1:11" s="320" customFormat="1">
      <c r="A26" s="316">
        <v>1.4</v>
      </c>
      <c r="B26" s="317" t="s">
        <v>131</v>
      </c>
      <c r="C26" s="310">
        <f>C23-C24-C25</f>
        <v>1023.53</v>
      </c>
      <c r="D26" s="312"/>
      <c r="E26" s="312"/>
      <c r="F26" s="312"/>
      <c r="G26" s="318"/>
      <c r="H26" s="318"/>
      <c r="I26" s="319"/>
    </row>
    <row r="27" spans="1:11" s="320" customFormat="1">
      <c r="A27" s="308">
        <v>2</v>
      </c>
      <c r="B27" s="309" t="s">
        <v>133</v>
      </c>
      <c r="C27" s="310">
        <v>3243.79</v>
      </c>
      <c r="D27" s="312"/>
      <c r="E27" s="312"/>
      <c r="F27" s="312"/>
      <c r="G27" s="318"/>
      <c r="H27" s="318"/>
      <c r="I27" s="319"/>
    </row>
    <row r="28" spans="1:11" s="320" customFormat="1">
      <c r="A28" s="308">
        <v>3</v>
      </c>
      <c r="B28" s="309" t="s">
        <v>129</v>
      </c>
      <c r="C28" s="310">
        <f>C23+C27</f>
        <v>4587.32</v>
      </c>
      <c r="D28" s="312"/>
      <c r="E28" s="312"/>
      <c r="F28" s="312"/>
      <c r="G28" s="318"/>
      <c r="H28" s="318"/>
      <c r="I28" s="319"/>
    </row>
    <row r="29" spans="1:11">
      <c r="A29" s="274"/>
      <c r="B29" s="272"/>
      <c r="C29" s="272"/>
      <c r="D29" s="272"/>
      <c r="E29" s="272"/>
      <c r="F29" s="272"/>
      <c r="G29" s="273"/>
      <c r="H29" s="273"/>
    </row>
    <row r="30" spans="1:11">
      <c r="A30" s="274"/>
      <c r="B30" s="272"/>
      <c r="C30" s="272"/>
      <c r="D30" s="272"/>
      <c r="E30" s="272"/>
      <c r="F30" s="272"/>
      <c r="G30" s="273"/>
      <c r="H30" s="273"/>
    </row>
    <row r="31" spans="1:11">
      <c r="A31" s="274"/>
      <c r="B31" s="272"/>
      <c r="C31" s="272"/>
      <c r="D31" s="272"/>
      <c r="E31" s="272"/>
      <c r="F31" s="272"/>
      <c r="G31" s="273"/>
      <c r="H31" s="273"/>
    </row>
    <row r="32" spans="1:11">
      <c r="A32" s="272"/>
      <c r="B32" s="272"/>
      <c r="C32" s="272"/>
      <c r="D32" s="272"/>
      <c r="E32" s="272"/>
      <c r="F32" s="272"/>
      <c r="G32" s="273"/>
      <c r="H32" s="273"/>
    </row>
    <row r="33" spans="1:8">
      <c r="A33" s="272"/>
      <c r="B33" s="272"/>
      <c r="C33" s="272"/>
      <c r="D33" s="272"/>
      <c r="E33" s="272"/>
      <c r="F33" s="272"/>
      <c r="G33" s="273"/>
      <c r="H33" s="273"/>
    </row>
    <row r="34" spans="1:8">
      <c r="A34" s="272"/>
      <c r="B34" s="272"/>
      <c r="C34" s="272"/>
      <c r="D34" s="272"/>
      <c r="E34" s="272"/>
      <c r="F34" s="272"/>
      <c r="G34" s="273"/>
      <c r="H34" s="273"/>
    </row>
    <row r="35" spans="1:8">
      <c r="A35" s="272"/>
      <c r="B35" s="272"/>
      <c r="C35" s="272"/>
      <c r="D35" s="272"/>
      <c r="E35" s="272"/>
      <c r="F35" s="272"/>
      <c r="G35" s="273"/>
      <c r="H35" s="273"/>
    </row>
    <row r="36" spans="1:8">
      <c r="A36" s="272"/>
      <c r="B36" s="272"/>
      <c r="C36" s="272"/>
      <c r="D36" s="272"/>
      <c r="E36" s="272"/>
      <c r="F36" s="272"/>
      <c r="G36" s="273"/>
      <c r="H36" s="273"/>
    </row>
  </sheetData>
  <mergeCells count="8">
    <mergeCell ref="H6:H14"/>
    <mergeCell ref="H4:H5"/>
    <mergeCell ref="D4:E4"/>
    <mergeCell ref="A1:B1"/>
    <mergeCell ref="A4:A5"/>
    <mergeCell ref="F4:G4"/>
    <mergeCell ref="B4:C4"/>
    <mergeCell ref="A2:H2"/>
  </mergeCells>
  <phoneticPr fontId="2" type="noConversion"/>
  <printOptions horizontalCentered="1" verticalCentered="1"/>
  <pageMargins left="0.51" right="0.51" top="1.21" bottom="1.33" header="0.77" footer="0.77"/>
  <pageSetup paperSize="9" scale="9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AG34"/>
  <sheetViews>
    <sheetView zoomScale="85" zoomScaleNormal="85" zoomScaleSheetLayoutView="55" workbookViewId="0">
      <selection activeCell="C36" sqref="C36"/>
    </sheetView>
  </sheetViews>
  <sheetFormatPr defaultColWidth="9" defaultRowHeight="15.6"/>
  <cols>
    <col min="1" max="1" width="4.3984375" style="8" customWidth="1"/>
    <col min="2" max="2" width="5" style="9" customWidth="1"/>
    <col min="3" max="3" width="22.59765625" style="8" customWidth="1"/>
    <col min="4" max="29" width="8.8984375" style="8" customWidth="1"/>
    <col min="30" max="16384" width="9" style="8"/>
  </cols>
  <sheetData>
    <row r="1" spans="1:33" s="55" customFormat="1" ht="27" customHeight="1">
      <c r="A1" s="54" t="s">
        <v>7</v>
      </c>
      <c r="C1" s="11"/>
    </row>
    <row r="2" spans="1:33" s="55" customFormat="1" ht="33" customHeight="1">
      <c r="B2" s="52"/>
      <c r="C2" s="53"/>
      <c r="D2" s="54" t="str">
        <f>""&amp;基础资料!C1&amp;"固定资产折旧估算表（5-1）"</f>
        <v>甘肃省临泽县锯条山2号冶金用石英岩矿出让收益评估固定资产折旧估算表（5-1）</v>
      </c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Q2" s="177" t="str">
        <f>""&amp;基础资料!C1&amp;"固定资产折旧估算表（5-2）"</f>
        <v>甘肃省临泽县锯条山2号冶金用石英岩矿出让收益评估固定资产折旧估算表（5-2）</v>
      </c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G2" s="177"/>
    </row>
    <row r="3" spans="1:33" s="104" customFormat="1" ht="19.2" customHeight="1">
      <c r="A3" s="103" t="str">
        <f>'1.评估价值估算'!A3</f>
        <v>评估委托人：临泽县自然资源局</v>
      </c>
      <c r="C3" s="105"/>
      <c r="D3" s="105"/>
      <c r="H3" s="107" t="str">
        <f>基础资料!C3</f>
        <v>评估基准日：2023年8月31日</v>
      </c>
      <c r="P3" s="106" t="str">
        <f>AC3</f>
        <v>单位：万元</v>
      </c>
      <c r="U3" s="107" t="str">
        <f>H3</f>
        <v>评估基准日：2023年8月31日</v>
      </c>
      <c r="AC3" s="106" t="str">
        <f>'1.评估价值估算'!AC3</f>
        <v>单位：万元</v>
      </c>
    </row>
    <row r="4" spans="1:33" s="86" customFormat="1" ht="32.4" customHeight="1">
      <c r="A4" s="389" t="s">
        <v>85</v>
      </c>
      <c r="B4" s="389"/>
      <c r="C4" s="198" t="s">
        <v>86</v>
      </c>
      <c r="D4" s="198" t="s">
        <v>87</v>
      </c>
      <c r="E4" s="198" t="s">
        <v>88</v>
      </c>
      <c r="F4" s="198" t="s">
        <v>89</v>
      </c>
      <c r="G4" s="70" t="str">
        <f>'1.评估价值估算'!G5</f>
        <v>2024年
3-12月</v>
      </c>
      <c r="H4" s="70" t="str">
        <f>'1.评估价值估算'!H5</f>
        <v>2025年</v>
      </c>
      <c r="I4" s="70" t="str">
        <f>'1.评估价值估算'!I5</f>
        <v>2026年</v>
      </c>
      <c r="J4" s="70" t="str">
        <f>'1.评估价值估算'!J5</f>
        <v>2027年</v>
      </c>
      <c r="K4" s="70" t="str">
        <f>'1.评估价值估算'!K5</f>
        <v>2028年</v>
      </c>
      <c r="L4" s="70" t="str">
        <f>'1.评估价值估算'!L5</f>
        <v>2029年</v>
      </c>
      <c r="M4" s="70" t="str">
        <f>'1.评估价值估算'!M5</f>
        <v>2030年</v>
      </c>
      <c r="N4" s="70" t="str">
        <f>'1.评估价值估算'!N5</f>
        <v>2031年</v>
      </c>
      <c r="O4" s="70" t="str">
        <f>'1.评估价值估算'!O5</f>
        <v>2032年</v>
      </c>
      <c r="P4" s="70" t="str">
        <f>'1.评估价值估算'!P5</f>
        <v>2033年</v>
      </c>
      <c r="Q4" s="70" t="str">
        <f>'1.评估价值估算'!Q5</f>
        <v>2034年</v>
      </c>
      <c r="R4" s="70" t="str">
        <f>'1.评估价值估算'!R5</f>
        <v>2035年</v>
      </c>
      <c r="S4" s="70" t="str">
        <f>'1.评估价值估算'!S5</f>
        <v>2036年</v>
      </c>
      <c r="T4" s="70" t="str">
        <f>'1.评估价值估算'!T5</f>
        <v>2037年</v>
      </c>
      <c r="U4" s="70" t="str">
        <f>'1.评估价值估算'!U5</f>
        <v>2038年</v>
      </c>
      <c r="V4" s="70" t="str">
        <f>'1.评估价值估算'!V5</f>
        <v>2039年</v>
      </c>
      <c r="W4" s="70" t="str">
        <f>'1.评估价值估算'!W5</f>
        <v>2040年
1-7月</v>
      </c>
      <c r="X4" s="70"/>
      <c r="Y4" s="70"/>
      <c r="Z4" s="70"/>
      <c r="AA4" s="70"/>
      <c r="AB4" s="70"/>
      <c r="AC4" s="70"/>
    </row>
    <row r="5" spans="1:33" s="82" customFormat="1" ht="18" customHeight="1">
      <c r="A5" s="386" t="s">
        <v>75</v>
      </c>
      <c r="B5" s="386"/>
      <c r="C5" s="87" t="s">
        <v>134</v>
      </c>
      <c r="D5" s="80">
        <f>D13+D19+D25</f>
        <v>148.46</v>
      </c>
      <c r="E5" s="80"/>
      <c r="F5" s="80"/>
      <c r="G5" s="80"/>
      <c r="H5" s="80"/>
      <c r="I5" s="80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</row>
    <row r="6" spans="1:33" s="82" customFormat="1" ht="18" customHeight="1">
      <c r="A6" s="387" t="s">
        <v>129</v>
      </c>
      <c r="B6" s="198" t="s">
        <v>5</v>
      </c>
      <c r="C6" s="77" t="s">
        <v>76</v>
      </c>
      <c r="D6" s="80"/>
      <c r="E6" s="80"/>
      <c r="F6" s="80"/>
      <c r="G6" s="80">
        <f>ROUND(G14+G20+G26,2)</f>
        <v>8.4</v>
      </c>
      <c r="H6" s="80">
        <f t="shared" ref="H6:W6" si="0">ROUND(H14+H20+H26,2)</f>
        <v>10.08</v>
      </c>
      <c r="I6" s="80">
        <f t="shared" si="0"/>
        <v>10.08</v>
      </c>
      <c r="J6" s="80">
        <f t="shared" si="0"/>
        <v>10.08</v>
      </c>
      <c r="K6" s="80">
        <f t="shared" si="0"/>
        <v>10.08</v>
      </c>
      <c r="L6" s="80">
        <f t="shared" si="0"/>
        <v>10.08</v>
      </c>
      <c r="M6" s="80">
        <f t="shared" si="0"/>
        <v>10.08</v>
      </c>
      <c r="N6" s="80">
        <f t="shared" si="0"/>
        <v>10.08</v>
      </c>
      <c r="O6" s="80">
        <f t="shared" si="0"/>
        <v>10.08</v>
      </c>
      <c r="P6" s="80">
        <f t="shared" si="0"/>
        <v>10.08</v>
      </c>
      <c r="Q6" s="80">
        <f t="shared" si="0"/>
        <v>10.08</v>
      </c>
      <c r="R6" s="80">
        <f t="shared" si="0"/>
        <v>10.08</v>
      </c>
      <c r="S6" s="80">
        <f t="shared" si="0"/>
        <v>10.08</v>
      </c>
      <c r="T6" s="80">
        <f t="shared" si="0"/>
        <v>10.08</v>
      </c>
      <c r="U6" s="80">
        <f t="shared" si="0"/>
        <v>10.08</v>
      </c>
      <c r="V6" s="80">
        <f t="shared" si="0"/>
        <v>10.08</v>
      </c>
      <c r="W6" s="80">
        <f t="shared" si="0"/>
        <v>5.41</v>
      </c>
      <c r="X6" s="80"/>
      <c r="Y6" s="80"/>
      <c r="Z6" s="80"/>
      <c r="AA6" s="80"/>
      <c r="AB6" s="80"/>
      <c r="AC6" s="80"/>
    </row>
    <row r="7" spans="1:33" s="82" customFormat="1" ht="18" customHeight="1">
      <c r="A7" s="388"/>
      <c r="B7" s="198" t="s">
        <v>6</v>
      </c>
      <c r="C7" s="77" t="s">
        <v>77</v>
      </c>
      <c r="D7" s="80"/>
      <c r="E7" s="80"/>
      <c r="F7" s="80"/>
      <c r="G7" s="80">
        <f>ROUND(G15+G21+G27,2)</f>
        <v>140.06</v>
      </c>
      <c r="H7" s="80">
        <f t="shared" ref="H7:W7" si="1">ROUND(H15+H21+H27,2)</f>
        <v>129.97999999999999</v>
      </c>
      <c r="I7" s="80">
        <f t="shared" si="1"/>
        <v>119.9</v>
      </c>
      <c r="J7" s="80">
        <f t="shared" si="1"/>
        <v>109.82</v>
      </c>
      <c r="K7" s="80">
        <f t="shared" si="1"/>
        <v>99.74</v>
      </c>
      <c r="L7" s="80">
        <f t="shared" si="1"/>
        <v>89.66</v>
      </c>
      <c r="M7" s="80">
        <f t="shared" si="1"/>
        <v>79.58</v>
      </c>
      <c r="N7" s="80">
        <f t="shared" si="1"/>
        <v>69.5</v>
      </c>
      <c r="O7" s="80">
        <f t="shared" si="1"/>
        <v>59.42</v>
      </c>
      <c r="P7" s="80">
        <f t="shared" si="1"/>
        <v>49.34</v>
      </c>
      <c r="Q7" s="80">
        <f t="shared" si="1"/>
        <v>39.26</v>
      </c>
      <c r="R7" s="80">
        <f t="shared" si="1"/>
        <v>104.85</v>
      </c>
      <c r="S7" s="80">
        <f t="shared" si="1"/>
        <v>94.77</v>
      </c>
      <c r="T7" s="80">
        <f t="shared" si="1"/>
        <v>84.69</v>
      </c>
      <c r="U7" s="80">
        <f t="shared" si="1"/>
        <v>74.61</v>
      </c>
      <c r="V7" s="80">
        <f t="shared" si="1"/>
        <v>64.53</v>
      </c>
      <c r="W7" s="80">
        <f t="shared" si="1"/>
        <v>59.12</v>
      </c>
      <c r="X7" s="80"/>
      <c r="Y7" s="80"/>
      <c r="Z7" s="80"/>
      <c r="AA7" s="80"/>
      <c r="AB7" s="80"/>
      <c r="AC7" s="80"/>
    </row>
    <row r="8" spans="1:33" s="82" customFormat="1" ht="18" customHeight="1">
      <c r="A8" s="388"/>
      <c r="B8" s="198" t="s">
        <v>104</v>
      </c>
      <c r="C8" s="77" t="s">
        <v>78</v>
      </c>
      <c r="D8" s="80">
        <f>SUM(G8:AC8)</f>
        <v>3.98</v>
      </c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>
        <f>R28</f>
        <v>3.98</v>
      </c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</row>
    <row r="9" spans="1:33" s="82" customFormat="1" ht="18" customHeight="1">
      <c r="A9" s="388"/>
      <c r="B9" s="198" t="s">
        <v>105</v>
      </c>
      <c r="C9" s="88" t="s">
        <v>106</v>
      </c>
      <c r="D9" s="80"/>
      <c r="E9" s="80"/>
      <c r="F9" s="80"/>
      <c r="G9" s="80">
        <f>G6/'3.销售收入'!E6</f>
        <v>1.01</v>
      </c>
      <c r="H9" s="80">
        <f>H6/'3.销售收入'!F6</f>
        <v>1.01</v>
      </c>
      <c r="I9" s="80">
        <f>I6/'3.销售收入'!G6</f>
        <v>1.01</v>
      </c>
      <c r="J9" s="80">
        <f>J6/'3.销售收入'!H6</f>
        <v>1.01</v>
      </c>
      <c r="K9" s="80">
        <f>K6/'3.销售收入'!I6</f>
        <v>1.01</v>
      </c>
      <c r="L9" s="80">
        <f>L6/'3.销售收入'!J6</f>
        <v>1.01</v>
      </c>
      <c r="M9" s="80">
        <f>M6/'3.销售收入'!K6</f>
        <v>1.01</v>
      </c>
      <c r="N9" s="80">
        <f>N6/'3.销售收入'!L6</f>
        <v>1.01</v>
      </c>
      <c r="O9" s="80">
        <f>O6/'3.销售收入'!M6</f>
        <v>1.01</v>
      </c>
      <c r="P9" s="80">
        <f>P6/'3.销售收入'!N6</f>
        <v>1.01</v>
      </c>
      <c r="Q9" s="80">
        <f>Q6/'3.销售收入'!O6</f>
        <v>1.01</v>
      </c>
      <c r="R9" s="80">
        <f>R6/'3.销售收入'!P6</f>
        <v>1.01</v>
      </c>
      <c r="S9" s="80">
        <f>S6/'3.销售收入'!Q6</f>
        <v>1.01</v>
      </c>
      <c r="T9" s="80">
        <f>T6/'3.销售收入'!R6</f>
        <v>1.01</v>
      </c>
      <c r="U9" s="80">
        <f>U6/'3.销售收入'!S6</f>
        <v>1.01</v>
      </c>
      <c r="V9" s="80">
        <f>V6/'3.销售收入'!T6</f>
        <v>1.01</v>
      </c>
      <c r="W9" s="80">
        <f>W6/'3.销售收入'!U6</f>
        <v>1.02</v>
      </c>
      <c r="X9" s="80"/>
      <c r="Y9" s="80"/>
      <c r="Z9" s="80"/>
      <c r="AA9" s="80"/>
      <c r="AB9" s="80"/>
      <c r="AC9" s="80"/>
    </row>
    <row r="10" spans="1:33" s="82" customFormat="1" ht="18" customHeight="1">
      <c r="A10" s="386" t="s">
        <v>79</v>
      </c>
      <c r="B10" s="386"/>
      <c r="C10" s="85" t="s">
        <v>80</v>
      </c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</row>
    <row r="11" spans="1:33" s="82" customFormat="1" ht="18" customHeight="1">
      <c r="A11" s="383" t="s">
        <v>180</v>
      </c>
      <c r="B11" s="263" t="s">
        <v>5</v>
      </c>
      <c r="C11" s="278" t="s">
        <v>210</v>
      </c>
      <c r="D11" s="80">
        <f>'4.固定资产'!G6</f>
        <v>40</v>
      </c>
      <c r="E11" s="80">
        <f>'2.可采储量及服务年限'!K8</f>
        <v>16.37</v>
      </c>
      <c r="F11" s="81">
        <v>0</v>
      </c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</row>
    <row r="12" spans="1:33" s="82" customFormat="1" ht="18" customHeight="1">
      <c r="A12" s="384"/>
      <c r="B12" s="277" t="s">
        <v>175</v>
      </c>
      <c r="C12" s="77" t="s">
        <v>81</v>
      </c>
      <c r="D12" s="80">
        <f>D11/(1+9%)*9%</f>
        <v>3.3</v>
      </c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</row>
    <row r="13" spans="1:33" s="82" customFormat="1" ht="18" customHeight="1">
      <c r="A13" s="384"/>
      <c r="B13" s="277" t="s">
        <v>176</v>
      </c>
      <c r="C13" s="77" t="s">
        <v>82</v>
      </c>
      <c r="D13" s="80">
        <f>D11-D12</f>
        <v>36.700000000000003</v>
      </c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</row>
    <row r="14" spans="1:33" s="82" customFormat="1" ht="18" customHeight="1">
      <c r="A14" s="384"/>
      <c r="B14" s="277" t="s">
        <v>177</v>
      </c>
      <c r="C14" s="77" t="s">
        <v>76</v>
      </c>
      <c r="D14" s="80"/>
      <c r="E14" s="80"/>
      <c r="F14" s="80"/>
      <c r="G14" s="80">
        <f>H14/'3.销售收入'!F6*'3.销售收入'!E6</f>
        <v>1.87</v>
      </c>
      <c r="H14" s="80">
        <f>D13/E11</f>
        <v>2.2400000000000002</v>
      </c>
      <c r="I14" s="80">
        <f>H14</f>
        <v>2.2400000000000002</v>
      </c>
      <c r="J14" s="80">
        <f t="shared" ref="J14:V14" si="2">I14</f>
        <v>2.2400000000000002</v>
      </c>
      <c r="K14" s="80">
        <f t="shared" si="2"/>
        <v>2.2400000000000002</v>
      </c>
      <c r="L14" s="80">
        <f t="shared" si="2"/>
        <v>2.2400000000000002</v>
      </c>
      <c r="M14" s="80">
        <f t="shared" si="2"/>
        <v>2.2400000000000002</v>
      </c>
      <c r="N14" s="80">
        <f t="shared" si="2"/>
        <v>2.2400000000000002</v>
      </c>
      <c r="O14" s="80">
        <f t="shared" si="2"/>
        <v>2.2400000000000002</v>
      </c>
      <c r="P14" s="80">
        <f t="shared" si="2"/>
        <v>2.2400000000000002</v>
      </c>
      <c r="Q14" s="80">
        <f t="shared" si="2"/>
        <v>2.2400000000000002</v>
      </c>
      <c r="R14" s="80">
        <f t="shared" si="2"/>
        <v>2.2400000000000002</v>
      </c>
      <c r="S14" s="80">
        <f t="shared" si="2"/>
        <v>2.2400000000000002</v>
      </c>
      <c r="T14" s="80">
        <f t="shared" si="2"/>
        <v>2.2400000000000002</v>
      </c>
      <c r="U14" s="80">
        <f t="shared" si="2"/>
        <v>2.2400000000000002</v>
      </c>
      <c r="V14" s="80">
        <f t="shared" si="2"/>
        <v>2.2400000000000002</v>
      </c>
      <c r="W14" s="80">
        <f>V15</f>
        <v>1.23</v>
      </c>
      <c r="X14" s="80"/>
      <c r="Y14" s="80"/>
      <c r="Z14" s="80"/>
      <c r="AA14" s="80"/>
      <c r="AB14" s="80"/>
      <c r="AC14" s="80"/>
    </row>
    <row r="15" spans="1:33" s="82" customFormat="1" ht="18" customHeight="1">
      <c r="A15" s="384"/>
      <c r="B15" s="277" t="s">
        <v>178</v>
      </c>
      <c r="C15" s="77" t="s">
        <v>77</v>
      </c>
      <c r="D15" s="80"/>
      <c r="E15" s="80"/>
      <c r="F15" s="80"/>
      <c r="G15" s="80">
        <f>D13-G14</f>
        <v>34.83</v>
      </c>
      <c r="H15" s="80">
        <f>G15-H14</f>
        <v>32.590000000000003</v>
      </c>
      <c r="I15" s="80">
        <f>H15-I14</f>
        <v>30.35</v>
      </c>
      <c r="J15" s="80">
        <f t="shared" ref="J15:W15" si="3">I15-J14</f>
        <v>28.11</v>
      </c>
      <c r="K15" s="80">
        <f t="shared" si="3"/>
        <v>25.87</v>
      </c>
      <c r="L15" s="80">
        <f t="shared" si="3"/>
        <v>23.63</v>
      </c>
      <c r="M15" s="80">
        <f t="shared" si="3"/>
        <v>21.39</v>
      </c>
      <c r="N15" s="80">
        <f t="shared" si="3"/>
        <v>19.149999999999999</v>
      </c>
      <c r="O15" s="80">
        <f t="shared" si="3"/>
        <v>16.91</v>
      </c>
      <c r="P15" s="80">
        <f t="shared" si="3"/>
        <v>14.67</v>
      </c>
      <c r="Q15" s="80">
        <f t="shared" si="3"/>
        <v>12.43</v>
      </c>
      <c r="R15" s="80">
        <f t="shared" si="3"/>
        <v>10.19</v>
      </c>
      <c r="S15" s="80">
        <f t="shared" si="3"/>
        <v>7.95</v>
      </c>
      <c r="T15" s="80">
        <f t="shared" si="3"/>
        <v>5.71</v>
      </c>
      <c r="U15" s="80">
        <f t="shared" si="3"/>
        <v>3.47</v>
      </c>
      <c r="V15" s="80">
        <f t="shared" si="3"/>
        <v>1.23</v>
      </c>
      <c r="W15" s="80">
        <f t="shared" si="3"/>
        <v>0</v>
      </c>
      <c r="X15" s="80"/>
      <c r="Y15" s="80"/>
      <c r="Z15" s="80"/>
      <c r="AA15" s="80"/>
      <c r="AB15" s="80"/>
      <c r="AC15" s="80"/>
    </row>
    <row r="16" spans="1:33" s="82" customFormat="1" ht="18" customHeight="1">
      <c r="A16" s="384"/>
      <c r="B16" s="277" t="s">
        <v>179</v>
      </c>
      <c r="C16" s="77" t="s">
        <v>78</v>
      </c>
      <c r="D16" s="80">
        <f>SUM(G16:AC16)</f>
        <v>0</v>
      </c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</row>
    <row r="17" spans="1:29" s="82" customFormat="1" ht="18" customHeight="1">
      <c r="A17" s="384"/>
      <c r="B17" s="79">
        <v>2</v>
      </c>
      <c r="C17" s="85" t="s">
        <v>107</v>
      </c>
      <c r="D17" s="80">
        <f>'4.固定资产'!G7</f>
        <v>35</v>
      </c>
      <c r="E17" s="81">
        <v>20</v>
      </c>
      <c r="F17" s="81">
        <v>5</v>
      </c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</row>
    <row r="18" spans="1:29" s="82" customFormat="1" ht="18" customHeight="1">
      <c r="A18" s="384"/>
      <c r="B18" s="78">
        <v>2.1</v>
      </c>
      <c r="C18" s="77" t="s">
        <v>81</v>
      </c>
      <c r="D18" s="80">
        <f>D17/(1+9%)*9%</f>
        <v>2.89</v>
      </c>
      <c r="E18" s="81"/>
      <c r="F18" s="81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</row>
    <row r="19" spans="1:29" s="82" customFormat="1" ht="18" customHeight="1">
      <c r="A19" s="384"/>
      <c r="B19" s="78">
        <v>2.2000000000000002</v>
      </c>
      <c r="C19" s="77" t="s">
        <v>82</v>
      </c>
      <c r="D19" s="80">
        <f>D17-D18</f>
        <v>32.11</v>
      </c>
      <c r="E19" s="81"/>
      <c r="F19" s="81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</row>
    <row r="20" spans="1:29" s="82" customFormat="1" ht="18" customHeight="1">
      <c r="A20" s="384"/>
      <c r="B20" s="78">
        <v>2.2999999999999998</v>
      </c>
      <c r="C20" s="77" t="s">
        <v>76</v>
      </c>
      <c r="D20" s="80"/>
      <c r="E20" s="81"/>
      <c r="F20" s="80"/>
      <c r="G20" s="80">
        <f>H20/'3.销售收入'!F6*'3.销售收入'!E6</f>
        <v>1.27</v>
      </c>
      <c r="H20" s="80">
        <f>(D19-D19*F17%)/E17</f>
        <v>1.53</v>
      </c>
      <c r="I20" s="80">
        <f>H20</f>
        <v>1.53</v>
      </c>
      <c r="J20" s="80">
        <f>I20</f>
        <v>1.53</v>
      </c>
      <c r="K20" s="80">
        <f>H20</f>
        <v>1.53</v>
      </c>
      <c r="L20" s="80">
        <f>K20</f>
        <v>1.53</v>
      </c>
      <c r="M20" s="80">
        <f>L20</f>
        <v>1.53</v>
      </c>
      <c r="N20" s="80">
        <f t="shared" ref="N20:T20" si="4">M20</f>
        <v>1.53</v>
      </c>
      <c r="O20" s="80">
        <f t="shared" si="4"/>
        <v>1.53</v>
      </c>
      <c r="P20" s="80">
        <f t="shared" si="4"/>
        <v>1.53</v>
      </c>
      <c r="Q20" s="80">
        <f t="shared" si="4"/>
        <v>1.53</v>
      </c>
      <c r="R20" s="80">
        <f t="shared" si="4"/>
        <v>1.53</v>
      </c>
      <c r="S20" s="80">
        <f t="shared" si="4"/>
        <v>1.53</v>
      </c>
      <c r="T20" s="80">
        <f t="shared" si="4"/>
        <v>1.53</v>
      </c>
      <c r="U20" s="80">
        <f t="shared" ref="U20:V20" si="5">T20</f>
        <v>1.53</v>
      </c>
      <c r="V20" s="80">
        <f t="shared" si="5"/>
        <v>1.53</v>
      </c>
      <c r="W20" s="80">
        <f>V20*'3.销售收入'!U6/'3.销售收入'!T6</f>
        <v>0.82</v>
      </c>
      <c r="X20" s="80"/>
      <c r="Y20" s="80"/>
      <c r="Z20" s="80"/>
      <c r="AA20" s="80"/>
      <c r="AB20" s="80"/>
      <c r="AC20" s="80"/>
    </row>
    <row r="21" spans="1:29" s="82" customFormat="1" ht="18" customHeight="1">
      <c r="A21" s="384"/>
      <c r="B21" s="78">
        <v>2.4</v>
      </c>
      <c r="C21" s="77" t="s">
        <v>77</v>
      </c>
      <c r="D21" s="80"/>
      <c r="E21" s="80"/>
      <c r="F21" s="81"/>
      <c r="G21" s="80">
        <f>D19-G20</f>
        <v>30.84</v>
      </c>
      <c r="H21" s="80">
        <f>G21-H20</f>
        <v>29.31</v>
      </c>
      <c r="I21" s="80">
        <f>H21-I20</f>
        <v>27.78</v>
      </c>
      <c r="J21" s="80">
        <f t="shared" ref="J21:P21" si="6">I21-J20</f>
        <v>26.25</v>
      </c>
      <c r="K21" s="80">
        <f t="shared" si="6"/>
        <v>24.72</v>
      </c>
      <c r="L21" s="80">
        <f t="shared" si="6"/>
        <v>23.19</v>
      </c>
      <c r="M21" s="80">
        <f t="shared" si="6"/>
        <v>21.66</v>
      </c>
      <c r="N21" s="80">
        <f t="shared" si="6"/>
        <v>20.13</v>
      </c>
      <c r="O21" s="80">
        <f t="shared" si="6"/>
        <v>18.600000000000001</v>
      </c>
      <c r="P21" s="80">
        <f t="shared" si="6"/>
        <v>17.07</v>
      </c>
      <c r="Q21" s="80">
        <f>P21-Q20</f>
        <v>15.54</v>
      </c>
      <c r="R21" s="80">
        <f t="shared" ref="R21:W21" si="7">Q21-R20</f>
        <v>14.01</v>
      </c>
      <c r="S21" s="80">
        <f t="shared" si="7"/>
        <v>12.48</v>
      </c>
      <c r="T21" s="80">
        <f t="shared" si="7"/>
        <v>10.95</v>
      </c>
      <c r="U21" s="80">
        <f t="shared" si="7"/>
        <v>9.42</v>
      </c>
      <c r="V21" s="80">
        <f t="shared" si="7"/>
        <v>7.89</v>
      </c>
      <c r="W21" s="80">
        <f t="shared" si="7"/>
        <v>7.07</v>
      </c>
      <c r="X21" s="80"/>
      <c r="Y21" s="80"/>
      <c r="Z21" s="80"/>
      <c r="AA21" s="80"/>
      <c r="AB21" s="80"/>
      <c r="AC21" s="80"/>
    </row>
    <row r="22" spans="1:29" s="82" customFormat="1" ht="18" customHeight="1">
      <c r="A22" s="384"/>
      <c r="B22" s="78">
        <v>2.5</v>
      </c>
      <c r="C22" s="77" t="s">
        <v>78</v>
      </c>
      <c r="D22" s="80">
        <f>SUM(G22:AC22)</f>
        <v>0</v>
      </c>
      <c r="E22" s="80"/>
      <c r="F22" s="81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</row>
    <row r="23" spans="1:29" s="82" customFormat="1" ht="18" customHeight="1">
      <c r="A23" s="384"/>
      <c r="B23" s="79">
        <v>3</v>
      </c>
      <c r="C23" s="87" t="s">
        <v>131</v>
      </c>
      <c r="D23" s="80">
        <f>'4.固定资产'!G8</f>
        <v>90</v>
      </c>
      <c r="E23" s="81">
        <v>12</v>
      </c>
      <c r="F23" s="81">
        <v>5</v>
      </c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>
        <f>D23</f>
        <v>90</v>
      </c>
      <c r="S23" s="80"/>
      <c r="T23" s="77"/>
      <c r="U23" s="154"/>
      <c r="V23" s="80"/>
      <c r="W23" s="80"/>
      <c r="X23" s="80"/>
      <c r="Y23" s="80"/>
      <c r="Z23" s="80"/>
      <c r="AA23" s="80"/>
      <c r="AB23" s="80"/>
      <c r="AC23" s="80"/>
    </row>
    <row r="24" spans="1:29" s="82" customFormat="1" ht="18" customHeight="1">
      <c r="A24" s="384"/>
      <c r="B24" s="78">
        <v>3.1</v>
      </c>
      <c r="C24" s="77" t="s">
        <v>83</v>
      </c>
      <c r="D24" s="80">
        <f>D23/(1+13%)*13%</f>
        <v>10.35</v>
      </c>
      <c r="E24" s="80"/>
      <c r="F24" s="81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>
        <f>D24</f>
        <v>10.35</v>
      </c>
      <c r="S24" s="80"/>
      <c r="T24" s="77"/>
      <c r="U24" s="77"/>
      <c r="V24" s="80"/>
      <c r="W24" s="80"/>
      <c r="X24" s="80"/>
      <c r="Y24" s="80"/>
      <c r="Z24" s="80"/>
      <c r="AA24" s="80"/>
      <c r="AB24" s="80"/>
      <c r="AC24" s="80"/>
    </row>
    <row r="25" spans="1:29" s="82" customFormat="1" ht="18" customHeight="1">
      <c r="A25" s="384"/>
      <c r="B25" s="78">
        <v>3.2</v>
      </c>
      <c r="C25" s="77" t="s">
        <v>84</v>
      </c>
      <c r="D25" s="80">
        <f>D23-D24</f>
        <v>79.650000000000006</v>
      </c>
      <c r="E25" s="80"/>
      <c r="F25" s="81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>
        <f>R23-R24</f>
        <v>79.650000000000006</v>
      </c>
      <c r="S25" s="80"/>
      <c r="T25" s="77"/>
      <c r="U25" s="77"/>
      <c r="V25" s="80"/>
      <c r="W25" s="80"/>
      <c r="X25" s="80"/>
      <c r="Y25" s="80"/>
      <c r="Z25" s="80"/>
      <c r="AA25" s="80"/>
      <c r="AB25" s="80"/>
      <c r="AC25" s="80"/>
    </row>
    <row r="26" spans="1:29" s="82" customFormat="1" ht="18" customHeight="1">
      <c r="A26" s="384"/>
      <c r="B26" s="78">
        <v>3.3</v>
      </c>
      <c r="C26" s="77" t="s">
        <v>76</v>
      </c>
      <c r="D26" s="80"/>
      <c r="E26" s="80"/>
      <c r="F26" s="81"/>
      <c r="G26" s="80">
        <f>H26/'3.销售收入'!F6*'3.销售收入'!E6</f>
        <v>5.26</v>
      </c>
      <c r="H26" s="80">
        <f>(D25-D25*F23%)/E23</f>
        <v>6.31</v>
      </c>
      <c r="I26" s="80">
        <f t="shared" ref="I26:N26" si="8">H26</f>
        <v>6.31</v>
      </c>
      <c r="J26" s="80">
        <f t="shared" si="8"/>
        <v>6.31</v>
      </c>
      <c r="K26" s="80">
        <f t="shared" si="8"/>
        <v>6.31</v>
      </c>
      <c r="L26" s="80">
        <f t="shared" si="8"/>
        <v>6.31</v>
      </c>
      <c r="M26" s="80">
        <f t="shared" si="8"/>
        <v>6.31</v>
      </c>
      <c r="N26" s="80">
        <f t="shared" si="8"/>
        <v>6.31</v>
      </c>
      <c r="O26" s="80">
        <f t="shared" ref="O26:V26" si="9">N26</f>
        <v>6.31</v>
      </c>
      <c r="P26" s="80">
        <f t="shared" si="9"/>
        <v>6.31</v>
      </c>
      <c r="Q26" s="80">
        <f t="shared" si="9"/>
        <v>6.31</v>
      </c>
      <c r="R26" s="80">
        <f t="shared" si="9"/>
        <v>6.31</v>
      </c>
      <c r="S26" s="80">
        <f t="shared" si="9"/>
        <v>6.31</v>
      </c>
      <c r="T26" s="80">
        <f t="shared" si="9"/>
        <v>6.31</v>
      </c>
      <c r="U26" s="80">
        <f t="shared" si="9"/>
        <v>6.31</v>
      </c>
      <c r="V26" s="80">
        <f t="shared" si="9"/>
        <v>6.31</v>
      </c>
      <c r="W26" s="80">
        <f>V26*'3.销售收入'!U6/'3.销售收入'!T6</f>
        <v>3.36</v>
      </c>
      <c r="X26" s="80"/>
      <c r="Y26" s="80"/>
      <c r="Z26" s="80"/>
      <c r="AA26" s="80"/>
      <c r="AB26" s="80"/>
      <c r="AC26" s="80"/>
    </row>
    <row r="27" spans="1:29" s="82" customFormat="1" ht="18" customHeight="1">
      <c r="A27" s="384"/>
      <c r="B27" s="78">
        <v>3.4</v>
      </c>
      <c r="C27" s="77" t="s">
        <v>77</v>
      </c>
      <c r="D27" s="80"/>
      <c r="E27" s="80"/>
      <c r="F27" s="81"/>
      <c r="G27" s="80">
        <f>D25-G26</f>
        <v>74.39</v>
      </c>
      <c r="H27" s="80">
        <f>G27-H26</f>
        <v>68.08</v>
      </c>
      <c r="I27" s="80">
        <f t="shared" ref="I27:Q27" si="10">H27-I26</f>
        <v>61.77</v>
      </c>
      <c r="J27" s="80">
        <f t="shared" si="10"/>
        <v>55.46</v>
      </c>
      <c r="K27" s="80">
        <f t="shared" si="10"/>
        <v>49.15</v>
      </c>
      <c r="L27" s="80">
        <f t="shared" si="10"/>
        <v>42.84</v>
      </c>
      <c r="M27" s="80">
        <f t="shared" si="10"/>
        <v>36.53</v>
      </c>
      <c r="N27" s="80">
        <f t="shared" si="10"/>
        <v>30.22</v>
      </c>
      <c r="O27" s="80">
        <f t="shared" si="10"/>
        <v>23.91</v>
      </c>
      <c r="P27" s="80">
        <f t="shared" si="10"/>
        <v>17.600000000000001</v>
      </c>
      <c r="Q27" s="80">
        <f t="shared" si="10"/>
        <v>11.29</v>
      </c>
      <c r="R27" s="80">
        <f>Q27+R25-R26-R28</f>
        <v>80.650000000000006</v>
      </c>
      <c r="S27" s="80">
        <f>R27-S26</f>
        <v>74.34</v>
      </c>
      <c r="T27" s="80">
        <f>S27-T26</f>
        <v>68.03</v>
      </c>
      <c r="U27" s="80">
        <f>T27-U26</f>
        <v>61.72</v>
      </c>
      <c r="V27" s="80">
        <f t="shared" ref="V27:W27" si="11">U27-V26</f>
        <v>55.41</v>
      </c>
      <c r="W27" s="80">
        <f t="shared" si="11"/>
        <v>52.05</v>
      </c>
      <c r="X27" s="80"/>
      <c r="Y27" s="80"/>
      <c r="Z27" s="80"/>
      <c r="AA27" s="80"/>
      <c r="AB27" s="80"/>
      <c r="AC27" s="80"/>
    </row>
    <row r="28" spans="1:29" s="82" customFormat="1" ht="18" customHeight="1">
      <c r="A28" s="385"/>
      <c r="B28" s="78">
        <v>3.5</v>
      </c>
      <c r="C28" s="77" t="s">
        <v>78</v>
      </c>
      <c r="D28" s="80">
        <f>SUM(G28:AC28)</f>
        <v>3.98</v>
      </c>
      <c r="E28" s="80"/>
      <c r="F28" s="81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>
        <f>D25*F23%</f>
        <v>3.98</v>
      </c>
      <c r="S28" s="80"/>
      <c r="T28" s="77"/>
      <c r="U28" s="77"/>
      <c r="V28" s="80"/>
      <c r="W28" s="80"/>
      <c r="X28" s="80"/>
      <c r="Y28" s="80"/>
      <c r="Z28" s="80"/>
      <c r="AA28" s="80"/>
      <c r="AB28" s="80"/>
      <c r="AC28" s="80"/>
    </row>
    <row r="29" spans="1:29" s="100" customFormat="1" ht="24" customHeight="1">
      <c r="A29" s="96" t="str">
        <f>基础资料!C4</f>
        <v>评估机构：北京中煤思维咨询有限公司</v>
      </c>
      <c r="B29" s="97"/>
      <c r="C29" s="97"/>
      <c r="D29" s="98"/>
      <c r="E29" s="98"/>
      <c r="F29" s="99"/>
      <c r="H29" s="96" t="str">
        <f>基础资料!C5</f>
        <v>审核：左和军</v>
      </c>
      <c r="P29" s="101" t="str">
        <f>AC29</f>
        <v>制表：冯俊龙</v>
      </c>
      <c r="U29" s="96" t="str">
        <f>H29</f>
        <v>审核：左和军</v>
      </c>
      <c r="AC29" s="102" t="str">
        <f>'1.评估价值估算'!AC23</f>
        <v>制表：冯俊龙</v>
      </c>
    </row>
    <row r="30" spans="1:29">
      <c r="D30" s="8">
        <f>D13+D19+D25</f>
        <v>148.46</v>
      </c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</row>
    <row r="31" spans="1:29">
      <c r="C31" s="23" t="s">
        <v>2</v>
      </c>
      <c r="D31" s="110"/>
    </row>
    <row r="32" spans="1:29">
      <c r="D32" s="22"/>
    </row>
    <row r="33" spans="4:4">
      <c r="D33" s="22">
        <f>(141522.04+37947.92+190691.84)*17%</f>
        <v>62927.51</v>
      </c>
    </row>
    <row r="34" spans="4:4">
      <c r="D34" s="22"/>
    </row>
  </sheetData>
  <mergeCells count="5">
    <mergeCell ref="A11:A28"/>
    <mergeCell ref="A10:B10"/>
    <mergeCell ref="A5:B5"/>
    <mergeCell ref="A6:A9"/>
    <mergeCell ref="A4:B4"/>
  </mergeCells>
  <phoneticPr fontId="2" type="noConversion"/>
  <printOptions horizontalCentered="1" verticalCentered="1"/>
  <pageMargins left="0.42" right="0.39" top="0.56999999999999995" bottom="0.83" header="0.32" footer="0.24"/>
  <pageSetup paperSize="9" scale="84" orientation="landscape" r:id="rId1"/>
  <headerFooter alignWithMargins="0"/>
  <colBreaks count="1" manualBreakCount="1">
    <brk id="16" max="22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>
    <tabColor theme="5" tint="-0.249977111117893"/>
  </sheetPr>
  <dimension ref="A1:BC27"/>
  <sheetViews>
    <sheetView topLeftCell="A10" zoomScaleNormal="100" zoomScaleSheetLayoutView="85" workbookViewId="0">
      <selection activeCell="D30" sqref="D30"/>
    </sheetView>
  </sheetViews>
  <sheetFormatPr defaultColWidth="9" defaultRowHeight="15.6"/>
  <cols>
    <col min="1" max="1" width="8.8984375" style="128" customWidth="1"/>
    <col min="2" max="2" width="24.8984375" style="132" customWidth="1"/>
    <col min="3" max="3" width="13.5" style="283" customWidth="1"/>
    <col min="4" max="4" width="8.8984375" style="132" customWidth="1"/>
    <col min="5" max="5" width="24.8984375" style="132" customWidth="1"/>
    <col min="6" max="6" width="13.5" style="132" customWidth="1"/>
    <col min="7" max="7" width="25" style="133" customWidth="1"/>
    <col min="8" max="8" width="9.09765625" style="128" customWidth="1"/>
    <col min="9" max="16384" width="9" style="128"/>
  </cols>
  <sheetData>
    <row r="1" spans="1:52" ht="27" customHeight="1">
      <c r="A1" s="131" t="s">
        <v>137</v>
      </c>
      <c r="B1" s="128"/>
    </row>
    <row r="2" spans="1:52" ht="27.75" customHeight="1">
      <c r="A2" s="382" t="str">
        <f>""&amp;基础资料!C1&amp;"单位成本费用估算表"</f>
        <v>甘肃省临泽县锯条山2号冶金用石英岩矿出让收益评估单位成本费用估算表</v>
      </c>
      <c r="B2" s="382"/>
      <c r="C2" s="382"/>
      <c r="D2" s="382"/>
      <c r="E2" s="382"/>
      <c r="F2" s="382"/>
      <c r="G2" s="382"/>
    </row>
    <row r="3" spans="1:52" s="304" customFormat="1" ht="18" customHeight="1">
      <c r="A3" s="304" t="str">
        <f>'5.折旧'!A3</f>
        <v>评估委托人：临泽县自然资源局</v>
      </c>
      <c r="C3" s="305"/>
      <c r="D3" s="304" t="str">
        <f>基础资料!C3</f>
        <v>评估基准日：2023年8月31日</v>
      </c>
      <c r="G3" s="306" t="s">
        <v>108</v>
      </c>
    </row>
    <row r="4" spans="1:52" s="12" customFormat="1" ht="31.2" customHeight="1">
      <c r="A4" s="261" t="s">
        <v>8</v>
      </c>
      <c r="B4" s="262" t="s">
        <v>9</v>
      </c>
      <c r="C4" s="288" t="s">
        <v>181</v>
      </c>
      <c r="D4" s="261" t="s">
        <v>10</v>
      </c>
      <c r="E4" s="262" t="s">
        <v>9</v>
      </c>
      <c r="F4" s="288" t="s">
        <v>11</v>
      </c>
      <c r="G4" s="118" t="s">
        <v>109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</row>
    <row r="5" spans="1:52" s="12" customFormat="1" ht="19.95" customHeight="1">
      <c r="A5" s="118"/>
      <c r="B5" s="26" t="s">
        <v>12</v>
      </c>
      <c r="C5" s="27">
        <v>30</v>
      </c>
      <c r="D5" s="119"/>
      <c r="E5" s="26" t="s">
        <v>12</v>
      </c>
      <c r="F5" s="134">
        <f>C5</f>
        <v>30</v>
      </c>
      <c r="G5" s="117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</row>
    <row r="6" spans="1:52" s="12" customFormat="1" ht="19.95" customHeight="1">
      <c r="A6" s="292">
        <v>1</v>
      </c>
      <c r="B6" s="293" t="s">
        <v>182</v>
      </c>
      <c r="C6" s="294"/>
      <c r="D6" s="295">
        <f t="shared" ref="D6:D19" si="0">A6</f>
        <v>1</v>
      </c>
      <c r="E6" s="293" t="str">
        <f>B6</f>
        <v>生产成本</v>
      </c>
      <c r="F6" s="296"/>
      <c r="G6" s="297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</row>
    <row r="7" spans="1:52" s="12" customFormat="1" ht="19.95" customHeight="1">
      <c r="A7" s="173">
        <v>1.1000000000000001</v>
      </c>
      <c r="B7" s="279" t="s">
        <v>14</v>
      </c>
      <c r="C7" s="281"/>
      <c r="D7" s="172">
        <f t="shared" si="0"/>
        <v>1.1000000000000001</v>
      </c>
      <c r="E7" s="184" t="s">
        <v>208</v>
      </c>
      <c r="F7" s="135">
        <f>15/1.09</f>
        <v>13.76</v>
      </c>
      <c r="G7" s="286" t="s">
        <v>172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</row>
    <row r="8" spans="1:52" s="12" customFormat="1" ht="19.95" customHeight="1">
      <c r="A8" s="173">
        <v>1.2</v>
      </c>
      <c r="B8" s="279" t="s">
        <v>183</v>
      </c>
      <c r="C8" s="281"/>
      <c r="D8" s="172">
        <f t="shared" si="0"/>
        <v>1.2</v>
      </c>
      <c r="E8" s="26" t="str">
        <f>B9</f>
        <v>剥离成本</v>
      </c>
      <c r="F8" s="135">
        <f>25/1.09</f>
        <v>22.94</v>
      </c>
      <c r="G8" s="286" t="s">
        <v>172</v>
      </c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</row>
    <row r="9" spans="1:52" s="12" customFormat="1" ht="19.95" customHeight="1">
      <c r="A9" s="173">
        <v>1.3</v>
      </c>
      <c r="B9" s="25" t="s">
        <v>184</v>
      </c>
      <c r="C9" s="281"/>
      <c r="D9" s="172">
        <f t="shared" si="0"/>
        <v>1.3</v>
      </c>
      <c r="E9" s="291" t="s">
        <v>14</v>
      </c>
      <c r="F9" s="290">
        <f>'5.折旧'!H9</f>
        <v>1.01</v>
      </c>
      <c r="G9" s="286" t="s">
        <v>189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</row>
    <row r="10" spans="1:52" s="12" customFormat="1" ht="27" customHeight="1">
      <c r="A10" s="173"/>
      <c r="B10" s="25"/>
      <c r="C10" s="281"/>
      <c r="D10" s="172">
        <v>1.4</v>
      </c>
      <c r="E10" s="184" t="s">
        <v>13</v>
      </c>
      <c r="F10" s="135">
        <f>'5.折旧'!D25*3%/F5</f>
        <v>0.08</v>
      </c>
      <c r="G10" s="289" t="s">
        <v>193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</row>
    <row r="11" spans="1:52" s="12" customFormat="1" ht="19.95" customHeight="1">
      <c r="A11" s="173"/>
      <c r="B11" s="25"/>
      <c r="C11" s="281"/>
      <c r="D11" s="172">
        <v>1.5</v>
      </c>
      <c r="E11" s="184" t="s">
        <v>191</v>
      </c>
      <c r="F11" s="135">
        <v>3</v>
      </c>
      <c r="G11" s="343" t="s">
        <v>212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</row>
    <row r="12" spans="1:52" s="302" customFormat="1" ht="19.95" customHeight="1">
      <c r="A12" s="292">
        <v>2</v>
      </c>
      <c r="B12" s="298" t="s">
        <v>158</v>
      </c>
      <c r="C12" s="299"/>
      <c r="D12" s="295">
        <f t="shared" si="0"/>
        <v>2</v>
      </c>
      <c r="E12" s="293" t="str">
        <f t="shared" ref="E12:E19" si="1">B12</f>
        <v>管理费用</v>
      </c>
      <c r="F12" s="300"/>
      <c r="G12" s="297"/>
      <c r="H12" s="301"/>
      <c r="I12" s="301"/>
      <c r="J12" s="301"/>
      <c r="K12" s="301"/>
      <c r="L12" s="301"/>
      <c r="M12" s="301"/>
      <c r="N12" s="301"/>
      <c r="O12" s="301"/>
      <c r="P12" s="301"/>
      <c r="Q12" s="301"/>
      <c r="R12" s="301"/>
      <c r="S12" s="301"/>
      <c r="T12" s="301"/>
      <c r="U12" s="301"/>
      <c r="V12" s="301"/>
      <c r="W12" s="301"/>
      <c r="X12" s="301"/>
      <c r="Y12" s="301"/>
      <c r="Z12" s="301"/>
      <c r="AA12" s="301"/>
      <c r="AB12" s="301"/>
      <c r="AC12" s="301"/>
      <c r="AD12" s="301"/>
      <c r="AE12" s="301"/>
      <c r="AF12" s="301"/>
      <c r="AG12" s="301"/>
      <c r="AH12" s="301"/>
      <c r="AI12" s="301"/>
      <c r="AJ12" s="301"/>
      <c r="AK12" s="301"/>
      <c r="AL12" s="301"/>
      <c r="AM12" s="301"/>
      <c r="AN12" s="301"/>
      <c r="AO12" s="301"/>
      <c r="AP12" s="301"/>
      <c r="AQ12" s="301"/>
      <c r="AR12" s="301"/>
      <c r="AS12" s="301"/>
      <c r="AT12" s="301"/>
      <c r="AU12" s="301"/>
      <c r="AV12" s="301"/>
      <c r="AW12" s="301"/>
      <c r="AX12" s="301"/>
      <c r="AY12" s="301"/>
      <c r="AZ12" s="301"/>
    </row>
    <row r="13" spans="1:52" s="12" customFormat="1" ht="19.95" customHeight="1">
      <c r="A13" s="173">
        <v>2.1</v>
      </c>
      <c r="B13" s="25" t="s">
        <v>185</v>
      </c>
      <c r="C13" s="281"/>
      <c r="D13" s="172">
        <f t="shared" si="0"/>
        <v>2.1</v>
      </c>
      <c r="E13" s="184" t="s">
        <v>15</v>
      </c>
      <c r="F13" s="135">
        <f>'4.固定资产'!G14/'2.可采储量及服务年限'!I8/'2.可采储量及服务年限'!K8</f>
        <v>0.11</v>
      </c>
      <c r="G13" s="287" t="s">
        <v>190</v>
      </c>
      <c r="H13" s="39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</row>
    <row r="14" spans="1:52" s="12" customFormat="1" ht="27" customHeight="1">
      <c r="A14" s="173">
        <v>2.2000000000000002</v>
      </c>
      <c r="B14" s="25" t="s">
        <v>186</v>
      </c>
      <c r="C14" s="281"/>
      <c r="D14" s="172">
        <f t="shared" si="0"/>
        <v>2.2000000000000002</v>
      </c>
      <c r="E14" s="26" t="str">
        <f t="shared" si="1"/>
        <v>其他管理费用</v>
      </c>
      <c r="F14" s="135">
        <v>2.2999999999999998</v>
      </c>
      <c r="G14" s="287" t="s">
        <v>192</v>
      </c>
      <c r="H14" s="18"/>
      <c r="I14" s="159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</row>
    <row r="15" spans="1:52" s="302" customFormat="1" ht="19.95" customHeight="1">
      <c r="A15" s="292">
        <v>3</v>
      </c>
      <c r="B15" s="298" t="s">
        <v>16</v>
      </c>
      <c r="C15" s="299"/>
      <c r="D15" s="295">
        <f t="shared" si="0"/>
        <v>3</v>
      </c>
      <c r="E15" s="293" t="str">
        <f t="shared" si="1"/>
        <v>财务费用</v>
      </c>
      <c r="F15" s="300"/>
      <c r="G15" s="297"/>
      <c r="H15" s="301"/>
      <c r="I15" s="301"/>
      <c r="J15" s="301"/>
      <c r="K15" s="301"/>
      <c r="L15" s="301"/>
      <c r="M15" s="301"/>
      <c r="N15" s="301"/>
      <c r="O15" s="301"/>
      <c r="P15" s="301"/>
      <c r="Q15" s="301"/>
      <c r="R15" s="301"/>
      <c r="S15" s="301"/>
      <c r="T15" s="301"/>
      <c r="U15" s="301"/>
      <c r="V15" s="301"/>
      <c r="W15" s="301"/>
      <c r="X15" s="301"/>
      <c r="Y15" s="301"/>
      <c r="Z15" s="301"/>
      <c r="AA15" s="301"/>
      <c r="AB15" s="301"/>
      <c r="AC15" s="301"/>
      <c r="AD15" s="301"/>
      <c r="AE15" s="301"/>
      <c r="AF15" s="301"/>
      <c r="AG15" s="301"/>
      <c r="AH15" s="301"/>
      <c r="AI15" s="301"/>
      <c r="AJ15" s="301"/>
      <c r="AK15" s="301"/>
      <c r="AL15" s="301"/>
      <c r="AM15" s="301"/>
      <c r="AN15" s="301"/>
      <c r="AO15" s="301"/>
      <c r="AP15" s="301"/>
      <c r="AQ15" s="301"/>
      <c r="AR15" s="301"/>
      <c r="AS15" s="301"/>
      <c r="AT15" s="301"/>
      <c r="AU15" s="301"/>
      <c r="AV15" s="301"/>
      <c r="AW15" s="301"/>
      <c r="AX15" s="301"/>
      <c r="AY15" s="301"/>
      <c r="AZ15" s="301"/>
    </row>
    <row r="16" spans="1:52" s="12" customFormat="1" ht="19.95" customHeight="1">
      <c r="A16" s="118">
        <v>3.1</v>
      </c>
      <c r="B16" s="25" t="s">
        <v>187</v>
      </c>
      <c r="C16" s="281"/>
      <c r="D16" s="172">
        <f t="shared" si="0"/>
        <v>3.1</v>
      </c>
      <c r="E16" s="26" t="str">
        <f t="shared" si="1"/>
        <v>长期借款利息</v>
      </c>
      <c r="F16" s="135"/>
      <c r="G16" s="117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</row>
    <row r="17" spans="1:55" s="12" customFormat="1" ht="19.95" customHeight="1">
      <c r="A17" s="118">
        <v>3.2</v>
      </c>
      <c r="B17" s="282" t="s">
        <v>188</v>
      </c>
      <c r="C17" s="280"/>
      <c r="D17" s="172">
        <f t="shared" si="0"/>
        <v>3.2</v>
      </c>
      <c r="E17" s="26" t="str">
        <f t="shared" si="1"/>
        <v>流动资金借款利息</v>
      </c>
      <c r="F17" s="135">
        <f>'1.评估价值估算'!G16*70%*4.35%/'2.可采储量及服务年限'!I8</f>
        <v>0.05</v>
      </c>
      <c r="G17" s="111" t="s">
        <v>110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</row>
    <row r="18" spans="1:55" s="302" customFormat="1" ht="19.95" customHeight="1">
      <c r="A18" s="292">
        <v>4</v>
      </c>
      <c r="B18" s="303" t="s">
        <v>18</v>
      </c>
      <c r="C18" s="294">
        <v>45</v>
      </c>
      <c r="D18" s="295">
        <f t="shared" si="0"/>
        <v>4</v>
      </c>
      <c r="E18" s="298" t="str">
        <f t="shared" si="1"/>
        <v>总成本费用</v>
      </c>
      <c r="F18" s="294">
        <f>SUM(F7:F17)</f>
        <v>43.25</v>
      </c>
      <c r="G18" s="297"/>
      <c r="H18" s="301"/>
      <c r="I18" s="301"/>
      <c r="J18" s="301"/>
      <c r="K18" s="301"/>
      <c r="L18" s="301"/>
      <c r="M18" s="301"/>
      <c r="N18" s="301"/>
      <c r="O18" s="301"/>
      <c r="P18" s="301"/>
      <c r="Q18" s="301"/>
      <c r="R18" s="301"/>
      <c r="S18" s="301"/>
      <c r="T18" s="301"/>
      <c r="U18" s="301"/>
      <c r="V18" s="301"/>
      <c r="W18" s="301"/>
      <c r="X18" s="301"/>
      <c r="Y18" s="301"/>
      <c r="Z18" s="301"/>
      <c r="AA18" s="301"/>
      <c r="AB18" s="301"/>
      <c r="AC18" s="301"/>
      <c r="AD18" s="301"/>
      <c r="AE18" s="301"/>
      <c r="AF18" s="301"/>
      <c r="AG18" s="301"/>
      <c r="AH18" s="301"/>
      <c r="AI18" s="301"/>
      <c r="AJ18" s="301"/>
      <c r="AK18" s="301"/>
      <c r="AL18" s="301"/>
      <c r="AM18" s="301"/>
      <c r="AN18" s="301"/>
      <c r="AO18" s="301"/>
      <c r="AP18" s="301"/>
      <c r="AQ18" s="301"/>
      <c r="AR18" s="301"/>
      <c r="AS18" s="301"/>
      <c r="AT18" s="301"/>
      <c r="AU18" s="301"/>
      <c r="AV18" s="301"/>
      <c r="AW18" s="301"/>
      <c r="AX18" s="301"/>
      <c r="AY18" s="301"/>
      <c r="AZ18" s="301"/>
    </row>
    <row r="19" spans="1:55" s="302" customFormat="1" ht="19.95" customHeight="1">
      <c r="A19" s="292">
        <v>5</v>
      </c>
      <c r="B19" s="303" t="s">
        <v>17</v>
      </c>
      <c r="C19" s="294"/>
      <c r="D19" s="295">
        <f t="shared" si="0"/>
        <v>5</v>
      </c>
      <c r="E19" s="298" t="str">
        <f t="shared" si="1"/>
        <v>经营成本</v>
      </c>
      <c r="F19" s="300">
        <f>F18-F9-F13-F17</f>
        <v>42.08</v>
      </c>
      <c r="G19" s="297"/>
      <c r="H19" s="301"/>
      <c r="I19" s="301"/>
      <c r="J19" s="301"/>
      <c r="K19" s="301"/>
      <c r="L19" s="301"/>
      <c r="M19" s="301"/>
      <c r="N19" s="301"/>
      <c r="O19" s="301"/>
      <c r="P19" s="301"/>
      <c r="Q19" s="301"/>
      <c r="R19" s="301"/>
      <c r="S19" s="301"/>
      <c r="T19" s="301"/>
      <c r="U19" s="301"/>
      <c r="V19" s="301"/>
      <c r="W19" s="301"/>
      <c r="X19" s="301"/>
      <c r="Y19" s="301"/>
      <c r="Z19" s="301"/>
      <c r="AA19" s="301"/>
      <c r="AB19" s="301"/>
      <c r="AC19" s="301"/>
      <c r="AD19" s="301"/>
      <c r="AE19" s="301"/>
      <c r="AF19" s="301"/>
      <c r="AG19" s="301"/>
      <c r="AH19" s="301"/>
      <c r="AI19" s="301"/>
      <c r="AJ19" s="301"/>
      <c r="AK19" s="301"/>
      <c r="AL19" s="301"/>
      <c r="AM19" s="301"/>
      <c r="AN19" s="301"/>
      <c r="AO19" s="301"/>
      <c r="AP19" s="301"/>
      <c r="AQ19" s="301"/>
      <c r="AR19" s="301"/>
      <c r="AS19" s="301"/>
      <c r="AT19" s="301"/>
      <c r="AU19" s="301"/>
      <c r="AV19" s="301"/>
      <c r="AW19" s="301"/>
      <c r="AX19" s="301"/>
      <c r="AY19" s="301"/>
      <c r="AZ19" s="301"/>
    </row>
    <row r="20" spans="1:55" s="7" customFormat="1" ht="24" customHeight="1">
      <c r="A20" s="7" t="str">
        <f>基础资料!C4</f>
        <v>评估机构：北京中煤思维咨询有限公司</v>
      </c>
      <c r="C20" s="157"/>
      <c r="D20" s="7" t="str">
        <f>基础资料!C5</f>
        <v>审核：左和军</v>
      </c>
      <c r="G20" s="158" t="str">
        <f>基础资料!C6</f>
        <v>制表：冯俊龙</v>
      </c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</row>
    <row r="21" spans="1:55">
      <c r="B21" s="128"/>
      <c r="C21" s="284"/>
      <c r="D21" s="136"/>
      <c r="E21" s="128"/>
      <c r="F21" s="12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</row>
    <row r="22" spans="1:55">
      <c r="C22" s="285"/>
      <c r="D22" s="136"/>
      <c r="E22" s="138"/>
      <c r="F22" s="136"/>
      <c r="G22" s="139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</row>
    <row r="23" spans="1:55">
      <c r="E23" s="7"/>
      <c r="F23" s="137"/>
      <c r="G23" s="139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</row>
    <row r="26" spans="1:55">
      <c r="B26" s="136"/>
      <c r="C26" s="284"/>
    </row>
    <row r="27" spans="1:55">
      <c r="B27" s="136"/>
      <c r="C27" s="284"/>
    </row>
  </sheetData>
  <mergeCells count="1">
    <mergeCell ref="A2:G2"/>
  </mergeCells>
  <phoneticPr fontId="2" type="noConversion"/>
  <printOptions horizontalCentered="1" verticalCentered="1"/>
  <pageMargins left="0.49" right="0.46" top="0.77" bottom="0.88" header="0.5" footer="0.4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Y45"/>
  <sheetViews>
    <sheetView topLeftCell="A4" zoomScale="85" zoomScaleNormal="85" zoomScaleSheetLayoutView="55" workbookViewId="0">
      <selection activeCell="C36" sqref="C36"/>
    </sheetView>
  </sheetViews>
  <sheetFormatPr defaultColWidth="9" defaultRowHeight="15.6"/>
  <cols>
    <col min="1" max="1" width="5.59765625" style="178" customWidth="1"/>
    <col min="2" max="2" width="30.3984375" style="178" customWidth="1"/>
    <col min="3" max="3" width="11.69921875" style="178" customWidth="1"/>
    <col min="4" max="4" width="11.09765625" style="178" customWidth="1"/>
    <col min="5" max="13" width="10.3984375" style="178" customWidth="1"/>
    <col min="14" max="25" width="9.69921875" style="178" customWidth="1"/>
    <col min="26" max="16384" width="9" style="178"/>
  </cols>
  <sheetData>
    <row r="1" spans="1:25" ht="27" customHeight="1">
      <c r="A1" s="390" t="s">
        <v>1</v>
      </c>
      <c r="B1" s="391"/>
      <c r="C1" s="221"/>
      <c r="D1" s="221"/>
    </row>
    <row r="2" spans="1:25" s="179" customFormat="1" ht="30" customHeight="1">
      <c r="B2" s="53"/>
      <c r="C2" s="54" t="str">
        <f>""&amp;基础资料!C1&amp;"总成本费用估算表（7-1）"</f>
        <v>甘肃省临泽县锯条山2号冶金用石英岩矿出让收益评估总成本费用估算表（7-1）</v>
      </c>
      <c r="D2" s="53"/>
      <c r="E2" s="177"/>
      <c r="F2" s="177"/>
      <c r="H2" s="222"/>
      <c r="I2" s="222"/>
      <c r="J2" s="222"/>
      <c r="K2" s="222"/>
      <c r="L2" s="222"/>
      <c r="M2" s="222"/>
      <c r="N2" s="177" t="str">
        <f>""&amp;基础资料!C1&amp;"总成本费用估算表（7-2）"</f>
        <v>甘肃省临泽县锯条山2号冶金用石英岩矿出让收益评估总成本费用估算表（7-2）</v>
      </c>
      <c r="P2" s="222"/>
      <c r="R2" s="222"/>
      <c r="S2" s="222"/>
      <c r="T2" s="222"/>
      <c r="U2" s="222"/>
      <c r="V2" s="222"/>
      <c r="W2" s="222"/>
      <c r="X2" s="222"/>
      <c r="Y2" s="177"/>
    </row>
    <row r="3" spans="1:25" s="180" customFormat="1" ht="22.5" customHeight="1">
      <c r="A3" s="223" t="str">
        <f>'1.评估价值估算'!A3</f>
        <v>评估委托人：临泽县自然资源局</v>
      </c>
      <c r="B3" s="224"/>
      <c r="C3" s="224"/>
      <c r="D3" s="224"/>
      <c r="E3" s="225"/>
      <c r="F3" s="226" t="str">
        <f>基础资料!C3</f>
        <v>评估基准日：2023年8月31日</v>
      </c>
      <c r="G3" s="225"/>
      <c r="H3" s="225"/>
      <c r="J3" s="225"/>
      <c r="K3" s="227"/>
      <c r="L3" s="225"/>
      <c r="M3" s="228" t="str">
        <f>Y3</f>
        <v>单位：万元</v>
      </c>
      <c r="O3" s="227"/>
      <c r="Q3" s="226" t="str">
        <f>F3</f>
        <v>评估基准日：2023年8月31日</v>
      </c>
      <c r="S3" s="227"/>
      <c r="U3" s="227"/>
      <c r="V3" s="227"/>
      <c r="W3" s="227"/>
      <c r="Y3" s="228" t="str">
        <f>'1.评估价值估算'!AC3</f>
        <v>单位：万元</v>
      </c>
    </row>
    <row r="4" spans="1:25" s="229" customFormat="1" ht="32.4" customHeight="1">
      <c r="A4" s="393" t="s">
        <v>69</v>
      </c>
      <c r="B4" s="393" t="s">
        <v>71</v>
      </c>
      <c r="C4" s="181" t="str">
        <f>'3.销售收入'!E4</f>
        <v>2024年
3-12月</v>
      </c>
      <c r="D4" s="181" t="str">
        <f>'3.销售收入'!F4</f>
        <v>2025年</v>
      </c>
      <c r="E4" s="181" t="str">
        <f>'3.销售收入'!G4</f>
        <v>2026年</v>
      </c>
      <c r="F4" s="181" t="str">
        <f>'3.销售收入'!H4</f>
        <v>2027年</v>
      </c>
      <c r="G4" s="181" t="str">
        <f>'3.销售收入'!I4</f>
        <v>2028年</v>
      </c>
      <c r="H4" s="181" t="str">
        <f>'3.销售收入'!J4</f>
        <v>2029年</v>
      </c>
      <c r="I4" s="181" t="str">
        <f>'3.销售收入'!K4</f>
        <v>2030年</v>
      </c>
      <c r="J4" s="181" t="str">
        <f>'3.销售收入'!L4</f>
        <v>2031年</v>
      </c>
      <c r="K4" s="181" t="str">
        <f>'3.销售收入'!M4</f>
        <v>2032年</v>
      </c>
      <c r="L4" s="181" t="str">
        <f>'3.销售收入'!N4</f>
        <v>2033年</v>
      </c>
      <c r="M4" s="181" t="str">
        <f>'3.销售收入'!O4</f>
        <v>2034年</v>
      </c>
      <c r="N4" s="181" t="str">
        <f>'3.销售收入'!P4</f>
        <v>2035年</v>
      </c>
      <c r="O4" s="181" t="str">
        <f>'3.销售收入'!Q4</f>
        <v>2036年</v>
      </c>
      <c r="P4" s="181" t="str">
        <f>'3.销售收入'!R4</f>
        <v>2037年</v>
      </c>
      <c r="Q4" s="181" t="str">
        <f>'3.销售收入'!S4</f>
        <v>2038年</v>
      </c>
      <c r="R4" s="181" t="str">
        <f>'3.销售收入'!T4</f>
        <v>2039年</v>
      </c>
      <c r="S4" s="181" t="str">
        <f>'3.销售收入'!U4</f>
        <v>2040年
1-7月</v>
      </c>
      <c r="T4" s="181">
        <f>'3.销售收入'!V4</f>
        <v>0</v>
      </c>
      <c r="U4" s="181"/>
      <c r="V4" s="181"/>
      <c r="W4" s="181"/>
      <c r="X4" s="181"/>
      <c r="Y4" s="181"/>
    </row>
    <row r="5" spans="1:25" s="230" customFormat="1" ht="27" customHeight="1">
      <c r="A5" s="394"/>
      <c r="B5" s="394"/>
      <c r="C5" s="183">
        <v>1</v>
      </c>
      <c r="D5" s="183">
        <v>2</v>
      </c>
      <c r="E5" s="182">
        <v>3</v>
      </c>
      <c r="F5" s="183">
        <v>4</v>
      </c>
      <c r="G5" s="183">
        <v>5</v>
      </c>
      <c r="H5" s="182">
        <v>6</v>
      </c>
      <c r="I5" s="183">
        <v>7</v>
      </c>
      <c r="J5" s="183">
        <v>8</v>
      </c>
      <c r="K5" s="182">
        <v>9</v>
      </c>
      <c r="L5" s="183">
        <v>10</v>
      </c>
      <c r="M5" s="183">
        <v>11</v>
      </c>
      <c r="N5" s="182">
        <v>12</v>
      </c>
      <c r="O5" s="183">
        <v>13</v>
      </c>
      <c r="P5" s="183">
        <v>14</v>
      </c>
      <c r="Q5" s="183">
        <v>15</v>
      </c>
      <c r="R5" s="182">
        <v>16</v>
      </c>
      <c r="S5" s="183">
        <v>17</v>
      </c>
      <c r="T5" s="183">
        <v>18</v>
      </c>
      <c r="U5" s="182"/>
      <c r="V5" s="183"/>
      <c r="W5" s="183"/>
      <c r="X5" s="182"/>
      <c r="Y5" s="183"/>
    </row>
    <row r="6" spans="1:25" s="194" customFormat="1" ht="27" customHeight="1">
      <c r="A6" s="183">
        <v>1</v>
      </c>
      <c r="B6" s="112" t="s">
        <v>111</v>
      </c>
      <c r="C6" s="73">
        <f>'3.销售收入'!E6</f>
        <v>8.33</v>
      </c>
      <c r="D6" s="73">
        <f>'3.销售收入'!F6</f>
        <v>10</v>
      </c>
      <c r="E6" s="73">
        <f>'3.销售收入'!G6</f>
        <v>10</v>
      </c>
      <c r="F6" s="73">
        <f>'3.销售收入'!H6</f>
        <v>10</v>
      </c>
      <c r="G6" s="73">
        <f>'3.销售收入'!I6</f>
        <v>10</v>
      </c>
      <c r="H6" s="73">
        <f>'3.销售收入'!J6</f>
        <v>10</v>
      </c>
      <c r="I6" s="73">
        <f>'3.销售收入'!K6</f>
        <v>10</v>
      </c>
      <c r="J6" s="73">
        <f>'3.销售收入'!L6</f>
        <v>10</v>
      </c>
      <c r="K6" s="73">
        <f>'3.销售收入'!M6</f>
        <v>10</v>
      </c>
      <c r="L6" s="73">
        <f>'3.销售收入'!N6</f>
        <v>10</v>
      </c>
      <c r="M6" s="73">
        <f>'3.销售收入'!O6</f>
        <v>10</v>
      </c>
      <c r="N6" s="73">
        <f>'3.销售收入'!P6</f>
        <v>10</v>
      </c>
      <c r="O6" s="73">
        <f>'3.销售收入'!Q6</f>
        <v>10</v>
      </c>
      <c r="P6" s="73">
        <f>'3.销售收入'!R6</f>
        <v>10</v>
      </c>
      <c r="Q6" s="73">
        <f>'3.销售收入'!S6</f>
        <v>10</v>
      </c>
      <c r="R6" s="73">
        <f>'3.销售收入'!T6</f>
        <v>10</v>
      </c>
      <c r="S6" s="73">
        <f>'3.销售收入'!U6</f>
        <v>5.33</v>
      </c>
      <c r="T6" s="73">
        <f>'3.销售收入'!V6</f>
        <v>0</v>
      </c>
      <c r="U6" s="73"/>
      <c r="V6" s="73"/>
      <c r="W6" s="73"/>
      <c r="X6" s="73"/>
      <c r="Y6" s="73"/>
    </row>
    <row r="7" spans="1:25" s="194" customFormat="1" ht="27" customHeight="1">
      <c r="A7" s="183">
        <v>2</v>
      </c>
      <c r="B7" s="185" t="str">
        <f>'6.单位成本表'!E7</f>
        <v>开采及加工成本</v>
      </c>
      <c r="C7" s="73">
        <f>'6.单位成本表'!$F$7*C6</f>
        <v>114.62</v>
      </c>
      <c r="D7" s="73">
        <f>'6.单位成本表'!$F$7*D6</f>
        <v>137.6</v>
      </c>
      <c r="E7" s="73">
        <f>'6.单位成本表'!$F$7*E6</f>
        <v>137.6</v>
      </c>
      <c r="F7" s="73">
        <f>'6.单位成本表'!$F$7*F6</f>
        <v>137.6</v>
      </c>
      <c r="G7" s="73">
        <f>'6.单位成本表'!$F$7*G6</f>
        <v>137.6</v>
      </c>
      <c r="H7" s="73">
        <f>'6.单位成本表'!$F$7*H6</f>
        <v>137.6</v>
      </c>
      <c r="I7" s="73">
        <f>'6.单位成本表'!$F$7*I6</f>
        <v>137.6</v>
      </c>
      <c r="J7" s="73">
        <f>'6.单位成本表'!$F$7*J6</f>
        <v>137.6</v>
      </c>
      <c r="K7" s="73">
        <f>'6.单位成本表'!$F$7*K6</f>
        <v>137.6</v>
      </c>
      <c r="L7" s="73">
        <f>'6.单位成本表'!$F$7*L6</f>
        <v>137.6</v>
      </c>
      <c r="M7" s="73">
        <f>'6.单位成本表'!$F$7*M6</f>
        <v>137.6</v>
      </c>
      <c r="N7" s="73">
        <f>'6.单位成本表'!$F$7*N6</f>
        <v>137.6</v>
      </c>
      <c r="O7" s="73">
        <f>'6.单位成本表'!$F$7*O6</f>
        <v>137.6</v>
      </c>
      <c r="P7" s="73">
        <f>'6.单位成本表'!$F$7*P6</f>
        <v>137.6</v>
      </c>
      <c r="Q7" s="73">
        <f>'6.单位成本表'!$F$7*Q6</f>
        <v>137.6</v>
      </c>
      <c r="R7" s="73">
        <f>'6.单位成本表'!$F$7*R6</f>
        <v>137.6</v>
      </c>
      <c r="S7" s="73">
        <f>'6.单位成本表'!$F$7*S6</f>
        <v>73.34</v>
      </c>
      <c r="T7" s="73">
        <f>'6.单位成本表'!$F$7*T6</f>
        <v>0</v>
      </c>
      <c r="U7" s="73"/>
      <c r="V7" s="73"/>
      <c r="W7" s="73"/>
      <c r="X7" s="73"/>
      <c r="Y7" s="73"/>
    </row>
    <row r="8" spans="1:25" s="194" customFormat="1" ht="27" customHeight="1">
      <c r="A8" s="183">
        <v>3</v>
      </c>
      <c r="B8" s="185" t="str">
        <f>'6.单位成本表'!E8</f>
        <v>剥离成本</v>
      </c>
      <c r="C8" s="181">
        <f>'6.单位成本表'!$F$8*C6</f>
        <v>191.09</v>
      </c>
      <c r="D8" s="181">
        <f>'6.单位成本表'!$F$8*D6</f>
        <v>229.4</v>
      </c>
      <c r="E8" s="181">
        <f>'6.单位成本表'!$F$8*E6</f>
        <v>229.4</v>
      </c>
      <c r="F8" s="181">
        <f>'6.单位成本表'!$F$8*F6</f>
        <v>229.4</v>
      </c>
      <c r="G8" s="181">
        <f>'6.单位成本表'!$F$8*G6</f>
        <v>229.4</v>
      </c>
      <c r="H8" s="181">
        <f>'6.单位成本表'!$F$8*H6</f>
        <v>229.4</v>
      </c>
      <c r="I8" s="181">
        <f>'6.单位成本表'!$F$8*I6</f>
        <v>229.4</v>
      </c>
      <c r="J8" s="181">
        <f>'6.单位成本表'!$F$8*J6</f>
        <v>229.4</v>
      </c>
      <c r="K8" s="181">
        <f>'6.单位成本表'!$F$8*K6</f>
        <v>229.4</v>
      </c>
      <c r="L8" s="181">
        <f>'6.单位成本表'!$F$8*L6</f>
        <v>229.4</v>
      </c>
      <c r="M8" s="181">
        <f>'6.单位成本表'!$F$8*M6</f>
        <v>229.4</v>
      </c>
      <c r="N8" s="181">
        <f>'6.单位成本表'!$F$8*N6</f>
        <v>229.4</v>
      </c>
      <c r="O8" s="181">
        <f>'6.单位成本表'!$F$8*O6</f>
        <v>229.4</v>
      </c>
      <c r="P8" s="181">
        <f>'6.单位成本表'!$F$8*P6</f>
        <v>229.4</v>
      </c>
      <c r="Q8" s="181">
        <f>'6.单位成本表'!$F$8*Q6</f>
        <v>229.4</v>
      </c>
      <c r="R8" s="181">
        <f>'6.单位成本表'!$F$8*R6</f>
        <v>229.4</v>
      </c>
      <c r="S8" s="181">
        <f>'6.单位成本表'!$F$8*S6</f>
        <v>122.27</v>
      </c>
      <c r="T8" s="181">
        <f>'6.单位成本表'!$F$8*T6</f>
        <v>0</v>
      </c>
      <c r="U8" s="181"/>
      <c r="V8" s="181"/>
      <c r="W8" s="181"/>
      <c r="X8" s="181"/>
      <c r="Y8" s="181"/>
    </row>
    <row r="9" spans="1:25" s="194" customFormat="1" ht="27" customHeight="1">
      <c r="A9" s="183">
        <v>4</v>
      </c>
      <c r="B9" s="185" t="str">
        <f>'6.单位成本表'!E9</f>
        <v>折旧费</v>
      </c>
      <c r="C9" s="181">
        <f>'6.单位成本表'!$F$9*C6</f>
        <v>8.41</v>
      </c>
      <c r="D9" s="181">
        <f>'6.单位成本表'!$F$9*D6</f>
        <v>10.1</v>
      </c>
      <c r="E9" s="181">
        <f>'6.单位成本表'!$F$9*E6</f>
        <v>10.1</v>
      </c>
      <c r="F9" s="181">
        <f>'6.单位成本表'!$F$9*F6</f>
        <v>10.1</v>
      </c>
      <c r="G9" s="181">
        <f>'6.单位成本表'!$F$9*G6</f>
        <v>10.1</v>
      </c>
      <c r="H9" s="181">
        <f>'6.单位成本表'!$F$9*H6</f>
        <v>10.1</v>
      </c>
      <c r="I9" s="181">
        <f>'6.单位成本表'!$F$9*I6</f>
        <v>10.1</v>
      </c>
      <c r="J9" s="181">
        <f>'6.单位成本表'!$F$9*J6</f>
        <v>10.1</v>
      </c>
      <c r="K9" s="181">
        <f>'6.单位成本表'!$F$9*K6</f>
        <v>10.1</v>
      </c>
      <c r="L9" s="181">
        <f>'6.单位成本表'!$F$9*L6</f>
        <v>10.1</v>
      </c>
      <c r="M9" s="181">
        <f>'6.单位成本表'!$F$9*M6</f>
        <v>10.1</v>
      </c>
      <c r="N9" s="181">
        <f>'6.单位成本表'!$F$9*N6</f>
        <v>10.1</v>
      </c>
      <c r="O9" s="181">
        <f>'6.单位成本表'!$F$9*O6</f>
        <v>10.1</v>
      </c>
      <c r="P9" s="181">
        <f>'6.单位成本表'!$F$9*P6</f>
        <v>10.1</v>
      </c>
      <c r="Q9" s="181">
        <f>'6.单位成本表'!$F$9*Q6</f>
        <v>10.1</v>
      </c>
      <c r="R9" s="181">
        <f>'6.单位成本表'!$F$9*R6</f>
        <v>10.1</v>
      </c>
      <c r="S9" s="181">
        <f>'6.单位成本表'!$F$9*S6</f>
        <v>5.38</v>
      </c>
      <c r="T9" s="181">
        <f>'6.单位成本表'!$F$9*T6</f>
        <v>0</v>
      </c>
      <c r="U9" s="181"/>
      <c r="V9" s="181"/>
      <c r="W9" s="181"/>
      <c r="X9" s="181"/>
      <c r="Y9" s="181"/>
    </row>
    <row r="10" spans="1:25" s="194" customFormat="1" ht="27" customHeight="1">
      <c r="A10" s="183">
        <v>5</v>
      </c>
      <c r="B10" s="185" t="str">
        <f>'6.单位成本表'!E10</f>
        <v>修理费</v>
      </c>
      <c r="C10" s="181">
        <f>'6.单位成本表'!$F$10*C6</f>
        <v>0.67</v>
      </c>
      <c r="D10" s="181">
        <f>'6.单位成本表'!$F$10*D6</f>
        <v>0.8</v>
      </c>
      <c r="E10" s="181">
        <f>'6.单位成本表'!$F$10*E6</f>
        <v>0.8</v>
      </c>
      <c r="F10" s="181">
        <f>'6.单位成本表'!$F$10*F6</f>
        <v>0.8</v>
      </c>
      <c r="G10" s="181">
        <f>'6.单位成本表'!$F$10*G6</f>
        <v>0.8</v>
      </c>
      <c r="H10" s="181">
        <f>'6.单位成本表'!$F$10*H6</f>
        <v>0.8</v>
      </c>
      <c r="I10" s="181">
        <f>'6.单位成本表'!$F$10*I6</f>
        <v>0.8</v>
      </c>
      <c r="J10" s="181">
        <f>'6.单位成本表'!$F$10*J6</f>
        <v>0.8</v>
      </c>
      <c r="K10" s="181">
        <f>'6.单位成本表'!$F$10*K6</f>
        <v>0.8</v>
      </c>
      <c r="L10" s="181">
        <f>'6.单位成本表'!$F$10*L6</f>
        <v>0.8</v>
      </c>
      <c r="M10" s="181">
        <f>'6.单位成本表'!$F$10*M6</f>
        <v>0.8</v>
      </c>
      <c r="N10" s="181">
        <f>'6.单位成本表'!$F$10*N6</f>
        <v>0.8</v>
      </c>
      <c r="O10" s="181">
        <f>'6.单位成本表'!$F$10*O6</f>
        <v>0.8</v>
      </c>
      <c r="P10" s="181">
        <f>'6.单位成本表'!$F$10*P6</f>
        <v>0.8</v>
      </c>
      <c r="Q10" s="181">
        <f>'6.单位成本表'!$F$10*Q6</f>
        <v>0.8</v>
      </c>
      <c r="R10" s="181">
        <f>'6.单位成本表'!$F$10*R6</f>
        <v>0.8</v>
      </c>
      <c r="S10" s="181">
        <f>'6.单位成本表'!$F$10*S6</f>
        <v>0.43</v>
      </c>
      <c r="T10" s="181">
        <f>'6.单位成本表'!$F$10*T6</f>
        <v>0</v>
      </c>
      <c r="U10" s="181"/>
      <c r="V10" s="181"/>
      <c r="W10" s="181"/>
      <c r="X10" s="181"/>
      <c r="Y10" s="181"/>
    </row>
    <row r="11" spans="1:25" s="194" customFormat="1" ht="27" customHeight="1">
      <c r="A11" s="183">
        <v>6</v>
      </c>
      <c r="B11" s="185" t="str">
        <f>'6.单位成本表'!E11</f>
        <v>安全费用</v>
      </c>
      <c r="C11" s="181">
        <f>'6.单位成本表'!$F$11*C6</f>
        <v>24.99</v>
      </c>
      <c r="D11" s="181">
        <f>'6.单位成本表'!$F$11*D6</f>
        <v>30</v>
      </c>
      <c r="E11" s="181">
        <f>'6.单位成本表'!$F$11*E6</f>
        <v>30</v>
      </c>
      <c r="F11" s="181">
        <f>'6.单位成本表'!$F$11*F6</f>
        <v>30</v>
      </c>
      <c r="G11" s="181">
        <f>'6.单位成本表'!$F$11*G6</f>
        <v>30</v>
      </c>
      <c r="H11" s="181">
        <f>'6.单位成本表'!$F$11*H6</f>
        <v>30</v>
      </c>
      <c r="I11" s="181">
        <f>'6.单位成本表'!$F$11*I6</f>
        <v>30</v>
      </c>
      <c r="J11" s="181">
        <f>'6.单位成本表'!$F$11*J6</f>
        <v>30</v>
      </c>
      <c r="K11" s="181">
        <f>'6.单位成本表'!$F$11*K6</f>
        <v>30</v>
      </c>
      <c r="L11" s="181">
        <f>'6.单位成本表'!$F$11*L6</f>
        <v>30</v>
      </c>
      <c r="M11" s="181">
        <f>'6.单位成本表'!$F$11*M6</f>
        <v>30</v>
      </c>
      <c r="N11" s="181">
        <f>'6.单位成本表'!$F$11*N6</f>
        <v>30</v>
      </c>
      <c r="O11" s="181">
        <f>'6.单位成本表'!$F$11*O6</f>
        <v>30</v>
      </c>
      <c r="P11" s="181">
        <f>'6.单位成本表'!$F$11*P6</f>
        <v>30</v>
      </c>
      <c r="Q11" s="181">
        <f>'6.单位成本表'!$F$11*Q6</f>
        <v>30</v>
      </c>
      <c r="R11" s="181">
        <f>'6.单位成本表'!$F$11*R6</f>
        <v>30</v>
      </c>
      <c r="S11" s="181">
        <f>'6.单位成本表'!$F$11*S6</f>
        <v>15.99</v>
      </c>
      <c r="T11" s="181">
        <f>'6.单位成本表'!$F$11*T6</f>
        <v>0</v>
      </c>
      <c r="U11" s="181"/>
      <c r="V11" s="181"/>
      <c r="W11" s="181"/>
      <c r="X11" s="181"/>
      <c r="Y11" s="181"/>
    </row>
    <row r="12" spans="1:25" s="194" customFormat="1" ht="27" customHeight="1">
      <c r="A12" s="183">
        <v>7</v>
      </c>
      <c r="B12" s="185" t="str">
        <f>'6.单位成本表'!E13</f>
        <v>摊销费</v>
      </c>
      <c r="C12" s="181">
        <f>'6.单位成本表'!$F$13*C6</f>
        <v>0.92</v>
      </c>
      <c r="D12" s="181">
        <f>'6.单位成本表'!$F$13*D6</f>
        <v>1.1000000000000001</v>
      </c>
      <c r="E12" s="181">
        <f>'6.单位成本表'!$F$13*E6</f>
        <v>1.1000000000000001</v>
      </c>
      <c r="F12" s="181">
        <f>'6.单位成本表'!$F$13*F6</f>
        <v>1.1000000000000001</v>
      </c>
      <c r="G12" s="181">
        <f>'6.单位成本表'!$F$13*G6</f>
        <v>1.1000000000000001</v>
      </c>
      <c r="H12" s="181">
        <f>'6.单位成本表'!$F$13*H6</f>
        <v>1.1000000000000001</v>
      </c>
      <c r="I12" s="181">
        <f>'6.单位成本表'!$F$13*I6</f>
        <v>1.1000000000000001</v>
      </c>
      <c r="J12" s="181">
        <f>'6.单位成本表'!$F$13*J6</f>
        <v>1.1000000000000001</v>
      </c>
      <c r="K12" s="181">
        <f>'6.单位成本表'!$F$13*K6</f>
        <v>1.1000000000000001</v>
      </c>
      <c r="L12" s="181">
        <f>'6.单位成本表'!$F$13*L6</f>
        <v>1.1000000000000001</v>
      </c>
      <c r="M12" s="181">
        <f>'6.单位成本表'!$F$13*M6</f>
        <v>1.1000000000000001</v>
      </c>
      <c r="N12" s="181">
        <f>'6.单位成本表'!$F$13*N6</f>
        <v>1.1000000000000001</v>
      </c>
      <c r="O12" s="181">
        <f>'6.单位成本表'!$F$13*O6</f>
        <v>1.1000000000000001</v>
      </c>
      <c r="P12" s="181">
        <f>'6.单位成本表'!$F$13*P6</f>
        <v>1.1000000000000001</v>
      </c>
      <c r="Q12" s="181">
        <f>'6.单位成本表'!$F$13*Q6</f>
        <v>1.1000000000000001</v>
      </c>
      <c r="R12" s="181">
        <f>'6.单位成本表'!$F$13*R6</f>
        <v>1.1000000000000001</v>
      </c>
      <c r="S12" s="181">
        <f>'6.单位成本表'!$F$13*S6</f>
        <v>0.59</v>
      </c>
      <c r="T12" s="181">
        <f>'6.单位成本表'!$F$13*T6</f>
        <v>0</v>
      </c>
      <c r="U12" s="181"/>
      <c r="V12" s="181"/>
      <c r="W12" s="181"/>
      <c r="X12" s="181"/>
      <c r="Y12" s="181"/>
    </row>
    <row r="13" spans="1:25" s="194" customFormat="1" ht="27" customHeight="1">
      <c r="A13" s="183">
        <v>8</v>
      </c>
      <c r="B13" s="185" t="str">
        <f>'6.单位成本表'!E14</f>
        <v>其他管理费用</v>
      </c>
      <c r="C13" s="181">
        <f>'6.单位成本表'!$F$14*C6</f>
        <v>19.16</v>
      </c>
      <c r="D13" s="181">
        <f>'6.单位成本表'!$F$14*D6</f>
        <v>23</v>
      </c>
      <c r="E13" s="181">
        <f>'6.单位成本表'!$F$14*E6</f>
        <v>23</v>
      </c>
      <c r="F13" s="181">
        <f>'6.单位成本表'!$F$14*F6</f>
        <v>23</v>
      </c>
      <c r="G13" s="181">
        <f>'6.单位成本表'!$F$14*G6</f>
        <v>23</v>
      </c>
      <c r="H13" s="181">
        <f>'6.单位成本表'!$F$14*H6</f>
        <v>23</v>
      </c>
      <c r="I13" s="181">
        <f>'6.单位成本表'!$F$14*I6</f>
        <v>23</v>
      </c>
      <c r="J13" s="181">
        <f>'6.单位成本表'!$F$14*J6</f>
        <v>23</v>
      </c>
      <c r="K13" s="181">
        <f>'6.单位成本表'!$F$14*K6</f>
        <v>23</v>
      </c>
      <c r="L13" s="181">
        <f>'6.单位成本表'!$F$14*L6</f>
        <v>23</v>
      </c>
      <c r="M13" s="181">
        <f>'6.单位成本表'!$F$14*M6</f>
        <v>23</v>
      </c>
      <c r="N13" s="181">
        <f>'6.单位成本表'!$F$14*N6</f>
        <v>23</v>
      </c>
      <c r="O13" s="181">
        <f>'6.单位成本表'!$F$14*O6</f>
        <v>23</v>
      </c>
      <c r="P13" s="181">
        <f>'6.单位成本表'!$F$14*P6</f>
        <v>23</v>
      </c>
      <c r="Q13" s="181">
        <f>'6.单位成本表'!$F$14*Q6</f>
        <v>23</v>
      </c>
      <c r="R13" s="181">
        <f>'6.单位成本表'!$F$14*R6</f>
        <v>23</v>
      </c>
      <c r="S13" s="181">
        <f>'6.单位成本表'!$F$14*S6</f>
        <v>12.26</v>
      </c>
      <c r="T13" s="181">
        <f>'6.单位成本表'!$F$14*T6</f>
        <v>0</v>
      </c>
      <c r="U13" s="181"/>
      <c r="V13" s="181"/>
      <c r="W13" s="181"/>
      <c r="X13" s="181"/>
      <c r="Y13" s="181"/>
    </row>
    <row r="14" spans="1:25" s="194" customFormat="1" ht="27" customHeight="1">
      <c r="A14" s="183">
        <v>9</v>
      </c>
      <c r="B14" s="185" t="str">
        <f>'6.单位成本表'!E15</f>
        <v>财务费用</v>
      </c>
      <c r="C14" s="181">
        <f>'6.单位成本表'!$F$17*C6</f>
        <v>0.42</v>
      </c>
      <c r="D14" s="181">
        <f>'6.单位成本表'!$F$17*D6</f>
        <v>0.5</v>
      </c>
      <c r="E14" s="181">
        <f>'6.单位成本表'!$F$17*E6</f>
        <v>0.5</v>
      </c>
      <c r="F14" s="181">
        <f>'6.单位成本表'!$F$17*F6</f>
        <v>0.5</v>
      </c>
      <c r="G14" s="181">
        <f>'6.单位成本表'!$F$17*G6</f>
        <v>0.5</v>
      </c>
      <c r="H14" s="181">
        <f>'6.单位成本表'!$F$17*H6</f>
        <v>0.5</v>
      </c>
      <c r="I14" s="181">
        <f>'6.单位成本表'!$F$17*I6</f>
        <v>0.5</v>
      </c>
      <c r="J14" s="181">
        <f>'6.单位成本表'!$F$17*J6</f>
        <v>0.5</v>
      </c>
      <c r="K14" s="181">
        <f>'6.单位成本表'!$F$17*K6</f>
        <v>0.5</v>
      </c>
      <c r="L14" s="181">
        <f>'6.单位成本表'!$F$17*L6</f>
        <v>0.5</v>
      </c>
      <c r="M14" s="181">
        <f>'6.单位成本表'!$F$17*M6</f>
        <v>0.5</v>
      </c>
      <c r="N14" s="181">
        <f>'6.单位成本表'!$F$17*N6</f>
        <v>0.5</v>
      </c>
      <c r="O14" s="181">
        <f>'6.单位成本表'!$F$17*O6</f>
        <v>0.5</v>
      </c>
      <c r="P14" s="181">
        <f>'6.单位成本表'!$F$17*P6</f>
        <v>0.5</v>
      </c>
      <c r="Q14" s="181">
        <f>'6.单位成本表'!$F$17*Q6</f>
        <v>0.5</v>
      </c>
      <c r="R14" s="181">
        <f>'6.单位成本表'!$F$17*R6</f>
        <v>0.5</v>
      </c>
      <c r="S14" s="181">
        <f>'6.单位成本表'!$F$17*S6</f>
        <v>0.27</v>
      </c>
      <c r="T14" s="181">
        <f>'6.单位成本表'!$F$17*T6</f>
        <v>0</v>
      </c>
      <c r="U14" s="181"/>
      <c r="V14" s="181"/>
      <c r="W14" s="181"/>
      <c r="X14" s="181"/>
      <c r="Y14" s="181"/>
    </row>
    <row r="15" spans="1:25" s="194" customFormat="1" ht="27" customHeight="1">
      <c r="A15" s="183">
        <v>10</v>
      </c>
      <c r="B15" s="113" t="s">
        <v>92</v>
      </c>
      <c r="C15" s="181">
        <f>SUM(C7:C14)</f>
        <v>360.28</v>
      </c>
      <c r="D15" s="181">
        <f t="shared" ref="D15:T15" si="0">SUM(D7:D14)</f>
        <v>432.5</v>
      </c>
      <c r="E15" s="181">
        <f t="shared" si="0"/>
        <v>432.5</v>
      </c>
      <c r="F15" s="181">
        <f t="shared" si="0"/>
        <v>432.5</v>
      </c>
      <c r="G15" s="181">
        <f t="shared" si="0"/>
        <v>432.5</v>
      </c>
      <c r="H15" s="181">
        <f t="shared" si="0"/>
        <v>432.5</v>
      </c>
      <c r="I15" s="181">
        <f t="shared" si="0"/>
        <v>432.5</v>
      </c>
      <c r="J15" s="181">
        <f t="shared" si="0"/>
        <v>432.5</v>
      </c>
      <c r="K15" s="181">
        <f t="shared" si="0"/>
        <v>432.5</v>
      </c>
      <c r="L15" s="181">
        <f t="shared" si="0"/>
        <v>432.5</v>
      </c>
      <c r="M15" s="181">
        <f t="shared" si="0"/>
        <v>432.5</v>
      </c>
      <c r="N15" s="181">
        <f t="shared" si="0"/>
        <v>432.5</v>
      </c>
      <c r="O15" s="181">
        <f t="shared" si="0"/>
        <v>432.5</v>
      </c>
      <c r="P15" s="181">
        <f t="shared" si="0"/>
        <v>432.5</v>
      </c>
      <c r="Q15" s="181">
        <f t="shared" si="0"/>
        <v>432.5</v>
      </c>
      <c r="R15" s="181">
        <f t="shared" si="0"/>
        <v>432.5</v>
      </c>
      <c r="S15" s="181">
        <f t="shared" si="0"/>
        <v>230.53</v>
      </c>
      <c r="T15" s="181">
        <f t="shared" si="0"/>
        <v>0</v>
      </c>
      <c r="U15" s="181"/>
      <c r="V15" s="181"/>
      <c r="W15" s="181"/>
      <c r="X15" s="181"/>
      <c r="Y15" s="181"/>
    </row>
    <row r="16" spans="1:25" s="194" customFormat="1" ht="27" customHeight="1">
      <c r="A16" s="183">
        <v>11</v>
      </c>
      <c r="B16" s="113" t="s">
        <v>112</v>
      </c>
      <c r="C16" s="181">
        <f>C15-C9-C12-C14</f>
        <v>350.53</v>
      </c>
      <c r="D16" s="181">
        <f t="shared" ref="D16:T16" si="1">D15-D9-D12-D14</f>
        <v>420.8</v>
      </c>
      <c r="E16" s="181">
        <f t="shared" si="1"/>
        <v>420.8</v>
      </c>
      <c r="F16" s="181">
        <f t="shared" si="1"/>
        <v>420.8</v>
      </c>
      <c r="G16" s="181">
        <f t="shared" si="1"/>
        <v>420.8</v>
      </c>
      <c r="H16" s="181">
        <f t="shared" si="1"/>
        <v>420.8</v>
      </c>
      <c r="I16" s="181">
        <f t="shared" si="1"/>
        <v>420.8</v>
      </c>
      <c r="J16" s="181">
        <f t="shared" si="1"/>
        <v>420.8</v>
      </c>
      <c r="K16" s="181">
        <f t="shared" si="1"/>
        <v>420.8</v>
      </c>
      <c r="L16" s="181">
        <f t="shared" si="1"/>
        <v>420.8</v>
      </c>
      <c r="M16" s="181">
        <f t="shared" si="1"/>
        <v>420.8</v>
      </c>
      <c r="N16" s="181">
        <f t="shared" si="1"/>
        <v>420.8</v>
      </c>
      <c r="O16" s="181">
        <f t="shared" si="1"/>
        <v>420.8</v>
      </c>
      <c r="P16" s="181">
        <f t="shared" si="1"/>
        <v>420.8</v>
      </c>
      <c r="Q16" s="181">
        <f t="shared" si="1"/>
        <v>420.8</v>
      </c>
      <c r="R16" s="181">
        <f t="shared" si="1"/>
        <v>420.8</v>
      </c>
      <c r="S16" s="181">
        <f t="shared" si="1"/>
        <v>224.29</v>
      </c>
      <c r="T16" s="181">
        <f t="shared" si="1"/>
        <v>0</v>
      </c>
      <c r="U16" s="181"/>
      <c r="V16" s="181"/>
      <c r="W16" s="181"/>
      <c r="X16" s="181"/>
      <c r="Y16" s="181"/>
    </row>
    <row r="17" spans="1:25" s="17" customFormat="1" ht="24.6" customHeight="1">
      <c r="A17" s="203" t="str">
        <f>'6.单位成本表'!A20</f>
        <v>评估机构：北京中煤思维咨询有限公司</v>
      </c>
      <c r="B17" s="203"/>
      <c r="C17" s="203"/>
      <c r="D17" s="203"/>
      <c r="F17" s="231" t="str">
        <f>基础资料!C5</f>
        <v>审核：左和军</v>
      </c>
      <c r="M17" s="204" t="str">
        <f>Y17</f>
        <v>制表：冯俊龙</v>
      </c>
      <c r="Q17" s="205" t="str">
        <f>F17</f>
        <v>审核：左和军</v>
      </c>
      <c r="Y17" s="204" t="str">
        <f>'1.评估价值估算'!AC23</f>
        <v>制表：冯俊龙</v>
      </c>
    </row>
    <row r="28" spans="1:25">
      <c r="A28" s="392"/>
    </row>
    <row r="29" spans="1:25">
      <c r="A29" s="392"/>
    </row>
    <row r="30" spans="1:25">
      <c r="A30" s="392"/>
    </row>
    <row r="32" spans="1:25">
      <c r="A32" s="392"/>
    </row>
    <row r="33" spans="1:4">
      <c r="A33" s="392"/>
    </row>
    <row r="34" spans="1:4">
      <c r="A34" s="392"/>
    </row>
    <row r="36" spans="1:4">
      <c r="A36" s="392"/>
    </row>
    <row r="37" spans="1:4">
      <c r="A37" s="392"/>
    </row>
    <row r="38" spans="1:4">
      <c r="A38" s="392"/>
    </row>
    <row r="45" spans="1:4">
      <c r="B45" s="232"/>
      <c r="C45" s="232"/>
      <c r="D45" s="232"/>
    </row>
  </sheetData>
  <mergeCells count="6">
    <mergeCell ref="A1:B1"/>
    <mergeCell ref="A28:A30"/>
    <mergeCell ref="A32:A34"/>
    <mergeCell ref="A36:A38"/>
    <mergeCell ref="A4:A5"/>
    <mergeCell ref="B4:B5"/>
  </mergeCells>
  <phoneticPr fontId="2" type="noConversion"/>
  <printOptions horizontalCentered="1" verticalCentered="1"/>
  <pageMargins left="0.34" right="0.28000000000000003" top="0.67" bottom="0.73" header="0.31" footer="0.46"/>
  <pageSetup paperSize="9" scale="85" orientation="landscape" r:id="rId1"/>
  <headerFooter alignWithMargins="0"/>
  <colBreaks count="1" manualBreakCount="1">
    <brk id="13" max="21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Z21"/>
  <sheetViews>
    <sheetView topLeftCell="G1" zoomScale="85" zoomScaleNormal="85" zoomScaleSheetLayoutView="70" workbookViewId="0">
      <selection activeCell="M22" sqref="M22:P25"/>
    </sheetView>
  </sheetViews>
  <sheetFormatPr defaultColWidth="9" defaultRowHeight="13.8"/>
  <cols>
    <col min="1" max="1" width="6.19921875" style="14" customWidth="1"/>
    <col min="2" max="2" width="19.09765625" style="14" customWidth="1"/>
    <col min="3" max="3" width="9.5" style="14" customWidth="1"/>
    <col min="4" max="14" width="9" style="14" customWidth="1"/>
    <col min="15" max="24" width="9.69921875" style="14" customWidth="1"/>
    <col min="25" max="26" width="9" style="14" customWidth="1"/>
    <col min="27" max="16384" width="9" style="14"/>
  </cols>
  <sheetData>
    <row r="1" spans="1:26" s="15" customFormat="1" ht="27" customHeight="1">
      <c r="A1" s="349" t="s">
        <v>4</v>
      </c>
      <c r="B1" s="395"/>
    </row>
    <row r="2" spans="1:26" s="15" customFormat="1" ht="31.5" customHeight="1">
      <c r="C2" s="47"/>
      <c r="D2" s="170" t="str">
        <f>""&amp;基础资料!C1&amp;"税费估算表（8-1）"</f>
        <v>甘肃省临泽县锯条山2号冶金用石英岩矿出让收益评估税费估算表（8-1）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P2" s="169" t="str">
        <f>""&amp;基础资料!C1&amp;"税费估算表（8-2）"</f>
        <v>甘肃省临泽县锯条山2号冶金用石英岩矿出让收益评估税费估算表（8-2）</v>
      </c>
      <c r="Q2" s="16"/>
      <c r="S2" s="16"/>
      <c r="T2" s="16"/>
      <c r="U2" s="16"/>
      <c r="V2" s="16"/>
      <c r="W2" s="16"/>
      <c r="X2" s="16"/>
      <c r="Y2" s="169"/>
      <c r="Z2" s="16"/>
    </row>
    <row r="3" spans="1:26" s="92" customFormat="1" ht="19.5" customHeight="1">
      <c r="A3" s="90" t="str">
        <f>'1.评估价值估算'!A3</f>
        <v>评估委托人：临泽县自然资源局</v>
      </c>
      <c r="B3" s="91"/>
      <c r="C3" s="91"/>
      <c r="D3" s="91"/>
      <c r="E3" s="91"/>
      <c r="G3" s="40" t="str">
        <f>基础资料!C3</f>
        <v>评估基准日：2023年8月31日</v>
      </c>
      <c r="J3" s="40"/>
      <c r="L3" s="94"/>
      <c r="O3" s="95" t="str">
        <f>Z3</f>
        <v>单位：万元</v>
      </c>
      <c r="P3" s="94"/>
      <c r="S3" s="93" t="str">
        <f>G3</f>
        <v>评估基准日：2023年8月31日</v>
      </c>
      <c r="T3" s="94"/>
      <c r="U3" s="93"/>
      <c r="V3" s="94"/>
      <c r="W3" s="94"/>
      <c r="Y3" s="94"/>
      <c r="Z3" s="95" t="str">
        <f>'3.销售收入'!AA3</f>
        <v>单位：万元</v>
      </c>
    </row>
    <row r="4" spans="1:26" s="71" customFormat="1" ht="30" customHeight="1">
      <c r="A4" s="396" t="s">
        <v>69</v>
      </c>
      <c r="B4" s="396" t="s">
        <v>71</v>
      </c>
      <c r="C4" s="396" t="s">
        <v>90</v>
      </c>
      <c r="D4" s="50" t="str">
        <f>'3.销售收入'!E4</f>
        <v>2024年
3-12月</v>
      </c>
      <c r="E4" s="50" t="str">
        <f>'3.销售收入'!F4</f>
        <v>2025年</v>
      </c>
      <c r="F4" s="50" t="str">
        <f>'3.销售收入'!G4</f>
        <v>2026年</v>
      </c>
      <c r="G4" s="50" t="str">
        <f>'3.销售收入'!H4</f>
        <v>2027年</v>
      </c>
      <c r="H4" s="50" t="str">
        <f>'3.销售收入'!I4</f>
        <v>2028年</v>
      </c>
      <c r="I4" s="50" t="str">
        <f>'3.销售收入'!J4</f>
        <v>2029年</v>
      </c>
      <c r="J4" s="50" t="str">
        <f>'3.销售收入'!K4</f>
        <v>2030年</v>
      </c>
      <c r="K4" s="50" t="str">
        <f>'3.销售收入'!L4</f>
        <v>2031年</v>
      </c>
      <c r="L4" s="50" t="str">
        <f>'3.销售收入'!M4</f>
        <v>2032年</v>
      </c>
      <c r="M4" s="50" t="str">
        <f>'3.销售收入'!N4</f>
        <v>2033年</v>
      </c>
      <c r="N4" s="50" t="str">
        <f>'3.销售收入'!O4</f>
        <v>2034年</v>
      </c>
      <c r="O4" s="50" t="str">
        <f>'3.销售收入'!P4</f>
        <v>2035年</v>
      </c>
      <c r="P4" s="50" t="str">
        <f>'3.销售收入'!Q4</f>
        <v>2036年</v>
      </c>
      <c r="Q4" s="50" t="str">
        <f>'3.销售收入'!R4</f>
        <v>2037年</v>
      </c>
      <c r="R4" s="50" t="str">
        <f>'3.销售收入'!S4</f>
        <v>2038年</v>
      </c>
      <c r="S4" s="50" t="str">
        <f>'3.销售收入'!T4</f>
        <v>2039年</v>
      </c>
      <c r="T4" s="50" t="str">
        <f>'3.销售收入'!U4</f>
        <v>2040年
1-7月</v>
      </c>
      <c r="U4" s="50"/>
      <c r="V4" s="50"/>
      <c r="W4" s="50"/>
      <c r="X4" s="50"/>
      <c r="Y4" s="50"/>
      <c r="Z4" s="50"/>
    </row>
    <row r="5" spans="1:26" s="71" customFormat="1" ht="25.2" customHeight="1">
      <c r="A5" s="396"/>
      <c r="B5" s="396"/>
      <c r="C5" s="396"/>
      <c r="D5" s="50">
        <v>1</v>
      </c>
      <c r="E5" s="50">
        <v>2</v>
      </c>
      <c r="F5" s="50">
        <v>3</v>
      </c>
      <c r="G5" s="50">
        <v>4</v>
      </c>
      <c r="H5" s="50">
        <v>5</v>
      </c>
      <c r="I5" s="50">
        <v>6</v>
      </c>
      <c r="J5" s="50">
        <v>7</v>
      </c>
      <c r="K5" s="50">
        <v>8</v>
      </c>
      <c r="L5" s="50">
        <v>9</v>
      </c>
      <c r="M5" s="50">
        <v>10</v>
      </c>
      <c r="N5" s="50">
        <v>11</v>
      </c>
      <c r="O5" s="50">
        <v>12</v>
      </c>
      <c r="P5" s="50">
        <v>13</v>
      </c>
      <c r="Q5" s="50">
        <v>14</v>
      </c>
      <c r="R5" s="50">
        <v>15</v>
      </c>
      <c r="S5" s="50">
        <v>16</v>
      </c>
      <c r="T5" s="50">
        <v>17</v>
      </c>
      <c r="U5" s="50"/>
      <c r="V5" s="50"/>
      <c r="W5" s="50"/>
      <c r="X5" s="50"/>
      <c r="Y5" s="50"/>
      <c r="Z5" s="50"/>
    </row>
    <row r="6" spans="1:26" s="74" customFormat="1" ht="25.2" customHeight="1">
      <c r="A6" s="72">
        <v>1</v>
      </c>
      <c r="B6" s="114" t="s">
        <v>91</v>
      </c>
      <c r="C6" s="73"/>
      <c r="D6" s="45">
        <f>'3.销售收入'!E9</f>
        <v>442.32</v>
      </c>
      <c r="E6" s="45">
        <f>'3.销售收入'!F9</f>
        <v>531</v>
      </c>
      <c r="F6" s="45">
        <f>'3.销售收入'!G9</f>
        <v>531</v>
      </c>
      <c r="G6" s="45">
        <f>'3.销售收入'!H9</f>
        <v>531</v>
      </c>
      <c r="H6" s="45">
        <f>'3.销售收入'!I9</f>
        <v>531</v>
      </c>
      <c r="I6" s="45">
        <f>'3.销售收入'!J9</f>
        <v>531</v>
      </c>
      <c r="J6" s="45">
        <f>'3.销售收入'!K9</f>
        <v>531</v>
      </c>
      <c r="K6" s="45">
        <f>'3.销售收入'!L9</f>
        <v>531</v>
      </c>
      <c r="L6" s="45">
        <f>'3.销售收入'!M9</f>
        <v>531</v>
      </c>
      <c r="M6" s="45">
        <f>'3.销售收入'!N9</f>
        <v>531</v>
      </c>
      <c r="N6" s="45">
        <f>'3.销售收入'!O9</f>
        <v>531</v>
      </c>
      <c r="O6" s="45">
        <f>'3.销售收入'!P9</f>
        <v>531</v>
      </c>
      <c r="P6" s="45">
        <f>'3.销售收入'!Q9</f>
        <v>531</v>
      </c>
      <c r="Q6" s="45">
        <f>'3.销售收入'!R9</f>
        <v>531</v>
      </c>
      <c r="R6" s="45">
        <f>'3.销售收入'!S9</f>
        <v>531</v>
      </c>
      <c r="S6" s="45">
        <f>'3.销售收入'!T9</f>
        <v>531</v>
      </c>
      <c r="T6" s="45">
        <f>'3.销售收入'!U9</f>
        <v>283.02</v>
      </c>
      <c r="U6" s="45"/>
      <c r="V6" s="45"/>
      <c r="W6" s="45"/>
      <c r="X6" s="45"/>
      <c r="Y6" s="45"/>
      <c r="Z6" s="45"/>
    </row>
    <row r="7" spans="1:26" s="74" customFormat="1" ht="25.2" customHeight="1">
      <c r="A7" s="72">
        <v>2</v>
      </c>
      <c r="B7" s="114" t="s">
        <v>92</v>
      </c>
      <c r="C7" s="73"/>
      <c r="D7" s="45">
        <f>'7.总成本费用'!C15</f>
        <v>360.28</v>
      </c>
      <c r="E7" s="45">
        <f>'7.总成本费用'!D15</f>
        <v>432.5</v>
      </c>
      <c r="F7" s="45">
        <f>'7.总成本费用'!E15</f>
        <v>432.5</v>
      </c>
      <c r="G7" s="45">
        <f>'7.总成本费用'!F15</f>
        <v>432.5</v>
      </c>
      <c r="H7" s="45">
        <f>'7.总成本费用'!G15</f>
        <v>432.5</v>
      </c>
      <c r="I7" s="45">
        <f>'7.总成本费用'!H15</f>
        <v>432.5</v>
      </c>
      <c r="J7" s="45">
        <f>'7.总成本费用'!I15</f>
        <v>432.5</v>
      </c>
      <c r="K7" s="45">
        <f>'7.总成本费用'!J15</f>
        <v>432.5</v>
      </c>
      <c r="L7" s="45">
        <f>'7.总成本费用'!K15</f>
        <v>432.5</v>
      </c>
      <c r="M7" s="45">
        <f>'7.总成本费用'!L15</f>
        <v>432.5</v>
      </c>
      <c r="N7" s="45">
        <f>'7.总成本费用'!M15</f>
        <v>432.5</v>
      </c>
      <c r="O7" s="45">
        <f>'7.总成本费用'!N15</f>
        <v>432.5</v>
      </c>
      <c r="P7" s="45">
        <f>'7.总成本费用'!O15</f>
        <v>432.5</v>
      </c>
      <c r="Q7" s="45">
        <f>'7.总成本费用'!P15</f>
        <v>432.5</v>
      </c>
      <c r="R7" s="45">
        <f>'7.总成本费用'!Q15</f>
        <v>432.5</v>
      </c>
      <c r="S7" s="45">
        <f>'7.总成本费用'!R15</f>
        <v>432.5</v>
      </c>
      <c r="T7" s="45">
        <f>'7.总成本费用'!S15</f>
        <v>230.53</v>
      </c>
      <c r="U7" s="45"/>
      <c r="V7" s="45"/>
      <c r="W7" s="45"/>
      <c r="X7" s="45"/>
      <c r="Y7" s="45"/>
      <c r="Z7" s="45"/>
    </row>
    <row r="8" spans="1:26" s="74" customFormat="1" ht="25.2" customHeight="1">
      <c r="A8" s="72">
        <v>3</v>
      </c>
      <c r="B8" s="114" t="s">
        <v>93</v>
      </c>
      <c r="C8" s="73"/>
      <c r="D8" s="45">
        <f>SUM(D9-D10-D11)</f>
        <v>13.36</v>
      </c>
      <c r="E8" s="45">
        <f>SUM(E9-E10-E11)</f>
        <v>35.9</v>
      </c>
      <c r="F8" s="45">
        <f>SUM(F9-F10-F11)</f>
        <v>35.9</v>
      </c>
      <c r="G8" s="45">
        <f>SUM(G9-G10-G11)</f>
        <v>35.9</v>
      </c>
      <c r="H8" s="45">
        <f t="shared" ref="H8:K8" si="0">SUM(H9-H10-H11)</f>
        <v>35.9</v>
      </c>
      <c r="I8" s="45">
        <f>SUM(I9-I10-I11)</f>
        <v>35.9</v>
      </c>
      <c r="J8" s="45">
        <f t="shared" si="0"/>
        <v>35.9</v>
      </c>
      <c r="K8" s="45">
        <f t="shared" si="0"/>
        <v>35.9</v>
      </c>
      <c r="L8" s="45">
        <f t="shared" ref="L8:M8" si="1">SUM(L9-L10-L11)</f>
        <v>35.9</v>
      </c>
      <c r="M8" s="45">
        <f t="shared" si="1"/>
        <v>35.9</v>
      </c>
      <c r="N8" s="45">
        <f t="shared" ref="N8:S8" si="2">SUM(N9-N10-N11)</f>
        <v>35.9</v>
      </c>
      <c r="O8" s="45">
        <f t="shared" si="2"/>
        <v>25.55</v>
      </c>
      <c r="P8" s="45">
        <f t="shared" si="2"/>
        <v>35.9</v>
      </c>
      <c r="Q8" s="45">
        <f t="shared" si="2"/>
        <v>35.9</v>
      </c>
      <c r="R8" s="45">
        <f t="shared" si="2"/>
        <v>35.9</v>
      </c>
      <c r="S8" s="45">
        <f t="shared" si="2"/>
        <v>35.9</v>
      </c>
      <c r="T8" s="45">
        <f t="shared" ref="T8" si="3">SUM(T9-T10-T11)</f>
        <v>19.13</v>
      </c>
      <c r="U8" s="45"/>
      <c r="V8" s="45"/>
      <c r="W8" s="45"/>
      <c r="X8" s="45"/>
      <c r="Y8" s="45"/>
      <c r="Z8" s="45"/>
    </row>
    <row r="9" spans="1:26" s="74" customFormat="1" ht="25.2" customHeight="1">
      <c r="A9" s="89">
        <v>3.1</v>
      </c>
      <c r="B9" s="114" t="s">
        <v>94</v>
      </c>
      <c r="C9" s="75">
        <v>0.13</v>
      </c>
      <c r="D9" s="45">
        <f>D6*0.13</f>
        <v>57.5</v>
      </c>
      <c r="E9" s="45">
        <f t="shared" ref="E9:T9" si="4">E6*0.13</f>
        <v>69.03</v>
      </c>
      <c r="F9" s="45">
        <f t="shared" si="4"/>
        <v>69.03</v>
      </c>
      <c r="G9" s="45">
        <f t="shared" si="4"/>
        <v>69.03</v>
      </c>
      <c r="H9" s="45">
        <f>H6*0.13</f>
        <v>69.03</v>
      </c>
      <c r="I9" s="45">
        <f>I6*0.13</f>
        <v>69.03</v>
      </c>
      <c r="J9" s="45">
        <f t="shared" si="4"/>
        <v>69.03</v>
      </c>
      <c r="K9" s="45">
        <f t="shared" si="4"/>
        <v>69.03</v>
      </c>
      <c r="L9" s="45">
        <f t="shared" si="4"/>
        <v>69.03</v>
      </c>
      <c r="M9" s="45">
        <f t="shared" si="4"/>
        <v>69.03</v>
      </c>
      <c r="N9" s="45">
        <f t="shared" si="4"/>
        <v>69.03</v>
      </c>
      <c r="O9" s="45">
        <f t="shared" si="4"/>
        <v>69.03</v>
      </c>
      <c r="P9" s="45">
        <f t="shared" si="4"/>
        <v>69.03</v>
      </c>
      <c r="Q9" s="45">
        <f t="shared" si="4"/>
        <v>69.03</v>
      </c>
      <c r="R9" s="45">
        <f t="shared" si="4"/>
        <v>69.03</v>
      </c>
      <c r="S9" s="45">
        <f t="shared" si="4"/>
        <v>69.03</v>
      </c>
      <c r="T9" s="45">
        <f t="shared" si="4"/>
        <v>36.79</v>
      </c>
      <c r="U9" s="45"/>
      <c r="V9" s="45"/>
      <c r="W9" s="45"/>
      <c r="X9" s="45"/>
      <c r="Y9" s="45"/>
      <c r="Z9" s="45"/>
    </row>
    <row r="10" spans="1:26" s="74" customFormat="1" ht="25.2" customHeight="1">
      <c r="A10" s="89">
        <v>3.2</v>
      </c>
      <c r="B10" s="114" t="s">
        <v>95</v>
      </c>
      <c r="C10" s="75" t="s">
        <v>97</v>
      </c>
      <c r="D10" s="45">
        <f>('7.总成本费用'!C7+'7.总成本费用'!C8)*9%+'7.总成本费用'!C10*13%</f>
        <v>27.6</v>
      </c>
      <c r="E10" s="45">
        <f>('7.总成本费用'!D7+'7.总成本费用'!D8)*9%+'7.总成本费用'!D10*13%</f>
        <v>33.130000000000003</v>
      </c>
      <c r="F10" s="45">
        <f>('7.总成本费用'!E7+'7.总成本费用'!E8)*9%+'7.总成本费用'!E10*13%</f>
        <v>33.130000000000003</v>
      </c>
      <c r="G10" s="45">
        <f>('7.总成本费用'!F7+'7.总成本费用'!F8)*9%+'7.总成本费用'!F10*13%</f>
        <v>33.130000000000003</v>
      </c>
      <c r="H10" s="45">
        <f>('7.总成本费用'!G7+'7.总成本费用'!G8)*9%+'7.总成本费用'!G10*13%</f>
        <v>33.130000000000003</v>
      </c>
      <c r="I10" s="45">
        <f>('7.总成本费用'!H7+'7.总成本费用'!H8)*9%+'7.总成本费用'!H10*13%</f>
        <v>33.130000000000003</v>
      </c>
      <c r="J10" s="45">
        <f>('7.总成本费用'!I7+'7.总成本费用'!I8)*9%+'7.总成本费用'!I10*13%</f>
        <v>33.130000000000003</v>
      </c>
      <c r="K10" s="45">
        <f>('7.总成本费用'!J7+'7.总成本费用'!J8)*9%+'7.总成本费用'!J10*13%</f>
        <v>33.130000000000003</v>
      </c>
      <c r="L10" s="45">
        <f>('7.总成本费用'!K7+'7.总成本费用'!K8)*9%+'7.总成本费用'!K10*13%</f>
        <v>33.130000000000003</v>
      </c>
      <c r="M10" s="45">
        <f>('7.总成本费用'!L7+'7.总成本费用'!L8)*9%+'7.总成本费用'!L10*13%</f>
        <v>33.130000000000003</v>
      </c>
      <c r="N10" s="45">
        <f>('7.总成本费用'!M7+'7.总成本费用'!M8)*9%+'7.总成本费用'!M10*13%</f>
        <v>33.130000000000003</v>
      </c>
      <c r="O10" s="45">
        <f>('7.总成本费用'!N7+'7.总成本费用'!N8)*9%+'7.总成本费用'!N10*13%</f>
        <v>33.130000000000003</v>
      </c>
      <c r="P10" s="45">
        <f>('7.总成本费用'!O7+'7.总成本费用'!O8)*9%+'7.总成本费用'!O10*13%</f>
        <v>33.130000000000003</v>
      </c>
      <c r="Q10" s="45">
        <f>('7.总成本费用'!P7+'7.总成本费用'!P8)*9%+'7.总成本费用'!P10*13%</f>
        <v>33.130000000000003</v>
      </c>
      <c r="R10" s="45">
        <f>('7.总成本费用'!Q7+'7.总成本费用'!Q8)*9%+'7.总成本费用'!Q10*13%</f>
        <v>33.130000000000003</v>
      </c>
      <c r="S10" s="45">
        <f>('7.总成本费用'!R7+'7.总成本费用'!R8)*9%+'7.总成本费用'!R10*13%</f>
        <v>33.130000000000003</v>
      </c>
      <c r="T10" s="45">
        <f>('7.总成本费用'!S7+'7.总成本费用'!S8)*9%+'7.总成本费用'!S10*13%</f>
        <v>17.66</v>
      </c>
      <c r="U10" s="45"/>
      <c r="V10" s="45"/>
      <c r="W10" s="45"/>
      <c r="X10" s="45"/>
      <c r="Y10" s="45"/>
      <c r="Z10" s="45"/>
    </row>
    <row r="11" spans="1:26" s="74" customFormat="1" ht="25.2" customHeight="1">
      <c r="A11" s="89">
        <v>3.3</v>
      </c>
      <c r="B11" s="114" t="s">
        <v>96</v>
      </c>
      <c r="C11" s="75" t="s">
        <v>97</v>
      </c>
      <c r="D11" s="76">
        <f>'5.折旧'!D12+'5.折旧'!D18+'5.折旧'!D24</f>
        <v>16.54</v>
      </c>
      <c r="E11" s="76"/>
      <c r="F11" s="73"/>
      <c r="G11" s="76"/>
      <c r="H11" s="76"/>
      <c r="I11" s="76"/>
      <c r="J11" s="45"/>
      <c r="K11" s="45"/>
      <c r="L11" s="45"/>
      <c r="M11" s="45"/>
      <c r="N11" s="45"/>
      <c r="O11" s="73">
        <f>'5.折旧'!R24</f>
        <v>10.35</v>
      </c>
      <c r="P11" s="45"/>
      <c r="Q11" s="73"/>
      <c r="R11" s="45"/>
      <c r="S11" s="45"/>
      <c r="T11" s="45"/>
      <c r="U11" s="45"/>
      <c r="V11" s="45"/>
      <c r="W11" s="45"/>
      <c r="X11" s="45"/>
      <c r="Y11" s="45"/>
      <c r="Z11" s="45"/>
    </row>
    <row r="12" spans="1:26" s="74" customFormat="1" ht="25.2" customHeight="1">
      <c r="A12" s="72">
        <v>4</v>
      </c>
      <c r="B12" s="114" t="s">
        <v>98</v>
      </c>
      <c r="C12" s="75"/>
      <c r="D12" s="45">
        <f t="shared" ref="D12:T12" si="5">SUM(D13:D16)</f>
        <v>10.19</v>
      </c>
      <c r="E12" s="45">
        <f>SUM(E13:E16)</f>
        <v>14.22</v>
      </c>
      <c r="F12" s="45">
        <f>SUM(F13:F16)</f>
        <v>14.22</v>
      </c>
      <c r="G12" s="45">
        <f t="shared" si="5"/>
        <v>14.22</v>
      </c>
      <c r="H12" s="45">
        <f t="shared" si="5"/>
        <v>14.22</v>
      </c>
      <c r="I12" s="45">
        <f t="shared" si="5"/>
        <v>14.22</v>
      </c>
      <c r="J12" s="45">
        <f t="shared" si="5"/>
        <v>14.22</v>
      </c>
      <c r="K12" s="45">
        <f t="shared" si="5"/>
        <v>14.22</v>
      </c>
      <c r="L12" s="45">
        <f t="shared" si="5"/>
        <v>14.22</v>
      </c>
      <c r="M12" s="45">
        <f t="shared" si="5"/>
        <v>14.22</v>
      </c>
      <c r="N12" s="45">
        <f t="shared" si="5"/>
        <v>14.22</v>
      </c>
      <c r="O12" s="45">
        <f t="shared" si="5"/>
        <v>13.18</v>
      </c>
      <c r="P12" s="45">
        <f t="shared" si="5"/>
        <v>14.22</v>
      </c>
      <c r="Q12" s="45">
        <f t="shared" si="5"/>
        <v>14.22</v>
      </c>
      <c r="R12" s="45">
        <f t="shared" si="5"/>
        <v>14.22</v>
      </c>
      <c r="S12" s="45">
        <f t="shared" si="5"/>
        <v>14.22</v>
      </c>
      <c r="T12" s="45">
        <f t="shared" si="5"/>
        <v>7.57</v>
      </c>
      <c r="U12" s="45"/>
      <c r="V12" s="45"/>
      <c r="W12" s="45"/>
      <c r="X12" s="45"/>
      <c r="Y12" s="45"/>
      <c r="Z12" s="45"/>
    </row>
    <row r="13" spans="1:26" s="74" customFormat="1" ht="25.2" customHeight="1">
      <c r="A13" s="89">
        <v>4.0999999999999996</v>
      </c>
      <c r="B13" s="114" t="s">
        <v>99</v>
      </c>
      <c r="C13" s="75">
        <v>0.05</v>
      </c>
      <c r="D13" s="45">
        <f t="shared" ref="D13" si="6">D8*$C13</f>
        <v>0.67</v>
      </c>
      <c r="E13" s="45">
        <f>E8*$C13</f>
        <v>1.8</v>
      </c>
      <c r="F13" s="45">
        <f>F8*$C13</f>
        <v>1.8</v>
      </c>
      <c r="G13" s="45">
        <f t="shared" ref="G13" si="7">G8*$C13</f>
        <v>1.8</v>
      </c>
      <c r="H13" s="45">
        <f t="shared" ref="H13:Q13" si="8">H8*$C13</f>
        <v>1.8</v>
      </c>
      <c r="I13" s="45">
        <f>I8*$C13</f>
        <v>1.8</v>
      </c>
      <c r="J13" s="45">
        <f t="shared" si="8"/>
        <v>1.8</v>
      </c>
      <c r="K13" s="45">
        <f t="shared" si="8"/>
        <v>1.8</v>
      </c>
      <c r="L13" s="45">
        <f t="shared" si="8"/>
        <v>1.8</v>
      </c>
      <c r="M13" s="45">
        <f t="shared" si="8"/>
        <v>1.8</v>
      </c>
      <c r="N13" s="45">
        <f t="shared" si="8"/>
        <v>1.8</v>
      </c>
      <c r="O13" s="45">
        <f t="shared" si="8"/>
        <v>1.28</v>
      </c>
      <c r="P13" s="45">
        <f t="shared" si="8"/>
        <v>1.8</v>
      </c>
      <c r="Q13" s="45">
        <f t="shared" si="8"/>
        <v>1.8</v>
      </c>
      <c r="R13" s="45">
        <f t="shared" ref="R13:T13" si="9">R8*$C13</f>
        <v>1.8</v>
      </c>
      <c r="S13" s="45">
        <f t="shared" si="9"/>
        <v>1.8</v>
      </c>
      <c r="T13" s="45">
        <f t="shared" si="9"/>
        <v>0.96</v>
      </c>
      <c r="U13" s="45"/>
      <c r="V13" s="45"/>
      <c r="W13" s="45"/>
      <c r="X13" s="45"/>
      <c r="Y13" s="45"/>
      <c r="Z13" s="45"/>
    </row>
    <row r="14" spans="1:26" s="74" customFormat="1" ht="25.2" customHeight="1">
      <c r="A14" s="89">
        <v>4.2</v>
      </c>
      <c r="B14" s="114" t="s">
        <v>100</v>
      </c>
      <c r="C14" s="75">
        <v>0.03</v>
      </c>
      <c r="D14" s="45">
        <f t="shared" ref="D14:E14" si="10">D8*$C14</f>
        <v>0.4</v>
      </c>
      <c r="E14" s="45">
        <f t="shared" si="10"/>
        <v>1.08</v>
      </c>
      <c r="F14" s="45">
        <f t="shared" ref="F14:Q14" si="11">F8*$C14</f>
        <v>1.08</v>
      </c>
      <c r="G14" s="45">
        <f t="shared" ref="G14" si="12">G8*$C14</f>
        <v>1.08</v>
      </c>
      <c r="H14" s="45">
        <f t="shared" si="11"/>
        <v>1.08</v>
      </c>
      <c r="I14" s="45">
        <f t="shared" si="11"/>
        <v>1.08</v>
      </c>
      <c r="J14" s="45">
        <f t="shared" si="11"/>
        <v>1.08</v>
      </c>
      <c r="K14" s="45">
        <f t="shared" si="11"/>
        <v>1.08</v>
      </c>
      <c r="L14" s="45">
        <f t="shared" si="11"/>
        <v>1.08</v>
      </c>
      <c r="M14" s="45">
        <f t="shared" si="11"/>
        <v>1.08</v>
      </c>
      <c r="N14" s="45">
        <f t="shared" si="11"/>
        <v>1.08</v>
      </c>
      <c r="O14" s="45">
        <f t="shared" si="11"/>
        <v>0.77</v>
      </c>
      <c r="P14" s="45">
        <f t="shared" si="11"/>
        <v>1.08</v>
      </c>
      <c r="Q14" s="45">
        <f t="shared" si="11"/>
        <v>1.08</v>
      </c>
      <c r="R14" s="45">
        <f t="shared" ref="R14:T14" si="13">R8*$C14</f>
        <v>1.08</v>
      </c>
      <c r="S14" s="45">
        <f t="shared" si="13"/>
        <v>1.08</v>
      </c>
      <c r="T14" s="45">
        <f t="shared" si="13"/>
        <v>0.56999999999999995</v>
      </c>
      <c r="U14" s="45"/>
      <c r="V14" s="45"/>
      <c r="W14" s="45"/>
      <c r="X14" s="45"/>
      <c r="Y14" s="45"/>
      <c r="Z14" s="45"/>
    </row>
    <row r="15" spans="1:26" s="74" customFormat="1" ht="25.2" customHeight="1">
      <c r="A15" s="89">
        <v>4.3</v>
      </c>
      <c r="B15" s="114" t="s">
        <v>101</v>
      </c>
      <c r="C15" s="75">
        <v>0.02</v>
      </c>
      <c r="D15" s="45">
        <f t="shared" ref="D15:E15" si="14">D8*$C$15</f>
        <v>0.27</v>
      </c>
      <c r="E15" s="45">
        <f t="shared" si="14"/>
        <v>0.72</v>
      </c>
      <c r="F15" s="45">
        <f t="shared" ref="F15:K15" si="15">F8*$C$15</f>
        <v>0.72</v>
      </c>
      <c r="G15" s="45">
        <f t="shared" si="15"/>
        <v>0.72</v>
      </c>
      <c r="H15" s="45">
        <f t="shared" si="15"/>
        <v>0.72</v>
      </c>
      <c r="I15" s="45">
        <f t="shared" si="15"/>
        <v>0.72</v>
      </c>
      <c r="J15" s="45">
        <f t="shared" si="15"/>
        <v>0.72</v>
      </c>
      <c r="K15" s="45">
        <f t="shared" si="15"/>
        <v>0.72</v>
      </c>
      <c r="L15" s="45">
        <f t="shared" ref="L15:Q15" si="16">L8*$C$15</f>
        <v>0.72</v>
      </c>
      <c r="M15" s="45">
        <f t="shared" si="16"/>
        <v>0.72</v>
      </c>
      <c r="N15" s="45">
        <f t="shared" si="16"/>
        <v>0.72</v>
      </c>
      <c r="O15" s="45">
        <f t="shared" si="16"/>
        <v>0.51</v>
      </c>
      <c r="P15" s="45">
        <f t="shared" si="16"/>
        <v>0.72</v>
      </c>
      <c r="Q15" s="45">
        <f t="shared" si="16"/>
        <v>0.72</v>
      </c>
      <c r="R15" s="45">
        <f t="shared" ref="R15:T15" si="17">R8*$C$15</f>
        <v>0.72</v>
      </c>
      <c r="S15" s="45">
        <f t="shared" si="17"/>
        <v>0.72</v>
      </c>
      <c r="T15" s="45">
        <f t="shared" si="17"/>
        <v>0.38</v>
      </c>
      <c r="U15" s="45"/>
      <c r="V15" s="45"/>
      <c r="W15" s="45"/>
      <c r="X15" s="45"/>
      <c r="Y15" s="45"/>
      <c r="Z15" s="45"/>
    </row>
    <row r="16" spans="1:26" s="74" customFormat="1" ht="25.2" customHeight="1">
      <c r="A16" s="89">
        <v>4.4000000000000004</v>
      </c>
      <c r="B16" s="233" t="s">
        <v>135</v>
      </c>
      <c r="C16" s="344">
        <v>0.02</v>
      </c>
      <c r="D16" s="45">
        <f>ROUND(D6*$C16,2)</f>
        <v>8.85</v>
      </c>
      <c r="E16" s="45">
        <f>ROUND(E6*$C16,2)</f>
        <v>10.62</v>
      </c>
      <c r="F16" s="45">
        <f t="shared" ref="F16:S16" si="18">ROUND(F6*$C16,2)</f>
        <v>10.62</v>
      </c>
      <c r="G16" s="45">
        <f t="shared" si="18"/>
        <v>10.62</v>
      </c>
      <c r="H16" s="45">
        <f>ROUND(H6*$C16,2)</f>
        <v>10.62</v>
      </c>
      <c r="I16" s="45">
        <f t="shared" si="18"/>
        <v>10.62</v>
      </c>
      <c r="J16" s="45">
        <f t="shared" si="18"/>
        <v>10.62</v>
      </c>
      <c r="K16" s="45">
        <f t="shared" si="18"/>
        <v>10.62</v>
      </c>
      <c r="L16" s="45">
        <f t="shared" si="18"/>
        <v>10.62</v>
      </c>
      <c r="M16" s="45">
        <f t="shared" si="18"/>
        <v>10.62</v>
      </c>
      <c r="N16" s="45">
        <f t="shared" si="18"/>
        <v>10.62</v>
      </c>
      <c r="O16" s="45">
        <f t="shared" si="18"/>
        <v>10.62</v>
      </c>
      <c r="P16" s="45">
        <f t="shared" si="18"/>
        <v>10.62</v>
      </c>
      <c r="Q16" s="45">
        <f>ROUND(Q6*$C16,2)</f>
        <v>10.62</v>
      </c>
      <c r="R16" s="45">
        <f t="shared" si="18"/>
        <v>10.62</v>
      </c>
      <c r="S16" s="45">
        <f t="shared" si="18"/>
        <v>10.62</v>
      </c>
      <c r="T16" s="45">
        <f>ROUND(T6*$C16,2)</f>
        <v>5.66</v>
      </c>
      <c r="U16" s="45"/>
      <c r="V16" s="45"/>
      <c r="W16" s="45"/>
      <c r="X16" s="45"/>
      <c r="Y16" s="45"/>
      <c r="Z16" s="45"/>
    </row>
    <row r="17" spans="1:26" s="74" customFormat="1" ht="25.2" customHeight="1">
      <c r="A17" s="72">
        <v>5</v>
      </c>
      <c r="B17" s="114" t="s">
        <v>102</v>
      </c>
      <c r="C17" s="75"/>
      <c r="D17" s="45">
        <f>D6-D7-D12</f>
        <v>71.849999999999994</v>
      </c>
      <c r="E17" s="45">
        <f>E6-E7-E12</f>
        <v>84.28</v>
      </c>
      <c r="F17" s="45">
        <f t="shared" ref="F17:T17" si="19">F6-F7-F12</f>
        <v>84.28</v>
      </c>
      <c r="G17" s="45">
        <f t="shared" si="19"/>
        <v>84.28</v>
      </c>
      <c r="H17" s="45">
        <f t="shared" si="19"/>
        <v>84.28</v>
      </c>
      <c r="I17" s="45">
        <f t="shared" si="19"/>
        <v>84.28</v>
      </c>
      <c r="J17" s="45">
        <f t="shared" si="19"/>
        <v>84.28</v>
      </c>
      <c r="K17" s="45">
        <f t="shared" si="19"/>
        <v>84.28</v>
      </c>
      <c r="L17" s="45">
        <f t="shared" si="19"/>
        <v>84.28</v>
      </c>
      <c r="M17" s="45">
        <f t="shared" si="19"/>
        <v>84.28</v>
      </c>
      <c r="N17" s="45">
        <f t="shared" si="19"/>
        <v>84.28</v>
      </c>
      <c r="O17" s="45">
        <f t="shared" si="19"/>
        <v>85.32</v>
      </c>
      <c r="P17" s="45">
        <f t="shared" si="19"/>
        <v>84.28</v>
      </c>
      <c r="Q17" s="45">
        <f t="shared" si="19"/>
        <v>84.28</v>
      </c>
      <c r="R17" s="45">
        <f t="shared" si="19"/>
        <v>84.28</v>
      </c>
      <c r="S17" s="45">
        <f t="shared" si="19"/>
        <v>84.28</v>
      </c>
      <c r="T17" s="45">
        <f t="shared" si="19"/>
        <v>44.92</v>
      </c>
      <c r="U17" s="45"/>
      <c r="V17" s="45"/>
      <c r="W17" s="45"/>
      <c r="X17" s="45"/>
      <c r="Y17" s="45"/>
      <c r="Z17" s="45"/>
    </row>
    <row r="18" spans="1:26" s="74" customFormat="1" ht="25.2" customHeight="1">
      <c r="A18" s="72">
        <v>6</v>
      </c>
      <c r="B18" s="114" t="s">
        <v>103</v>
      </c>
      <c r="C18" s="75">
        <v>0.25</v>
      </c>
      <c r="D18" s="45">
        <f>IF(D17&lt;0,0,ROUND(D17*25%,2))</f>
        <v>17.96</v>
      </c>
      <c r="E18" s="45">
        <f t="shared" ref="E18" si="20">IF(E17&lt;0,0,ROUND(E17*25%,2))</f>
        <v>21.07</v>
      </c>
      <c r="F18" s="45">
        <f t="shared" ref="F18:Q18" si="21">IF(F17&lt;0,0,ROUND(F17*25%,2))</f>
        <v>21.07</v>
      </c>
      <c r="G18" s="45">
        <f t="shared" ref="G18" si="22">IF(G17&lt;0,0,ROUND(G17*25%,2))</f>
        <v>21.07</v>
      </c>
      <c r="H18" s="45">
        <f t="shared" si="21"/>
        <v>21.07</v>
      </c>
      <c r="I18" s="45">
        <f t="shared" si="21"/>
        <v>21.07</v>
      </c>
      <c r="J18" s="45">
        <f t="shared" si="21"/>
        <v>21.07</v>
      </c>
      <c r="K18" s="45">
        <f t="shared" si="21"/>
        <v>21.07</v>
      </c>
      <c r="L18" s="45">
        <f t="shared" si="21"/>
        <v>21.07</v>
      </c>
      <c r="M18" s="45">
        <f t="shared" si="21"/>
        <v>21.07</v>
      </c>
      <c r="N18" s="45">
        <f t="shared" si="21"/>
        <v>21.07</v>
      </c>
      <c r="O18" s="45">
        <f t="shared" si="21"/>
        <v>21.33</v>
      </c>
      <c r="P18" s="45">
        <f t="shared" si="21"/>
        <v>21.07</v>
      </c>
      <c r="Q18" s="45">
        <f t="shared" si="21"/>
        <v>21.07</v>
      </c>
      <c r="R18" s="45">
        <f t="shared" ref="R18:T18" si="23">IF(R17&lt;0,0,ROUND(R17*25%,2))</f>
        <v>21.07</v>
      </c>
      <c r="S18" s="45">
        <f t="shared" si="23"/>
        <v>21.07</v>
      </c>
      <c r="T18" s="45">
        <f t="shared" si="23"/>
        <v>11.23</v>
      </c>
      <c r="U18" s="45"/>
      <c r="V18" s="45"/>
      <c r="W18" s="45"/>
      <c r="X18" s="45"/>
      <c r="Y18" s="45"/>
      <c r="Z18" s="45"/>
    </row>
    <row r="19" spans="1:26" s="160" customFormat="1" ht="24" customHeight="1">
      <c r="A19" s="98" t="str">
        <f>基础资料!C4</f>
        <v>评估机构：北京中煤思维咨询有限公司</v>
      </c>
      <c r="B19" s="98"/>
      <c r="C19" s="98"/>
      <c r="D19" s="98"/>
      <c r="E19" s="98"/>
      <c r="G19" s="161" t="str">
        <f>基础资料!C5</f>
        <v>审核：左和军</v>
      </c>
      <c r="J19" s="162"/>
      <c r="L19" s="162"/>
      <c r="O19" s="163" t="str">
        <f>基础资料!C6</f>
        <v>制表：冯俊龙</v>
      </c>
      <c r="P19" s="162"/>
      <c r="Q19" s="163"/>
      <c r="S19" s="162" t="str">
        <f>G19</f>
        <v>审核：左和军</v>
      </c>
      <c r="T19" s="162"/>
      <c r="U19" s="162"/>
      <c r="V19" s="162"/>
      <c r="W19" s="162"/>
      <c r="Y19" s="162"/>
      <c r="Z19" s="163" t="str">
        <f>基础资料!C6</f>
        <v>制表：冯俊龙</v>
      </c>
    </row>
    <row r="20" spans="1:26" s="17" customFormat="1" ht="15.6">
      <c r="F20" s="155"/>
      <c r="H20" s="155"/>
    </row>
    <row r="21" spans="1:26" ht="15.6">
      <c r="L21" s="155"/>
    </row>
  </sheetData>
  <mergeCells count="4">
    <mergeCell ref="A1:B1"/>
    <mergeCell ref="C4:C5"/>
    <mergeCell ref="B4:B5"/>
    <mergeCell ref="A4:A5"/>
  </mergeCells>
  <phoneticPr fontId="2" type="noConversion"/>
  <printOptions horizontalCentered="1" verticalCentered="1"/>
  <pageMargins left="0.39" right="0.34" top="0.86" bottom="1" header="0.42" footer="0.51181102362204722"/>
  <pageSetup paperSize="9" scale="90" orientation="landscape" r:id="rId1"/>
  <headerFooter alignWithMargins="0"/>
  <colBreaks count="1" manualBreakCount="1">
    <brk id="15" max="17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6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15</vt:i4>
      </vt:variant>
    </vt:vector>
  </HeadingPairs>
  <TitlesOfParts>
    <vt:vector size="26" baseType="lpstr">
      <vt:lpstr>1.评估价值估算</vt:lpstr>
      <vt:lpstr>2.可采储量及服务年限</vt:lpstr>
      <vt:lpstr>3.销售收入</vt:lpstr>
      <vt:lpstr>4.固定资产</vt:lpstr>
      <vt:lpstr>5.折旧</vt:lpstr>
      <vt:lpstr>6.单位成本表</vt:lpstr>
      <vt:lpstr>7.总成本费用</vt:lpstr>
      <vt:lpstr>8.税费</vt:lpstr>
      <vt:lpstr>Sheet1</vt:lpstr>
      <vt:lpstr>基础资料</vt:lpstr>
      <vt:lpstr>2011-2022价格</vt:lpstr>
      <vt:lpstr>'1.评估价值估算'!Print_Area</vt:lpstr>
      <vt:lpstr>'2.可采储量及服务年限'!Print_Area</vt:lpstr>
      <vt:lpstr>'2011-2022价格'!Print_Area</vt:lpstr>
      <vt:lpstr>'3.销售收入'!Print_Area</vt:lpstr>
      <vt:lpstr>'4.固定资产'!Print_Area</vt:lpstr>
      <vt:lpstr>'5.折旧'!Print_Area</vt:lpstr>
      <vt:lpstr>'6.单位成本表'!Print_Area</vt:lpstr>
      <vt:lpstr>'7.总成本费用'!Print_Area</vt:lpstr>
      <vt:lpstr>'8.税费'!Print_Area</vt:lpstr>
      <vt:lpstr>'1.评估价值估算'!Print_Titles</vt:lpstr>
      <vt:lpstr>'3.销售收入'!Print_Titles</vt:lpstr>
      <vt:lpstr>'5.折旧'!Print_Titles</vt:lpstr>
      <vt:lpstr>'6.单位成本表'!Print_Titles</vt:lpstr>
      <vt:lpstr>'7.总成本费用'!Print_Titles</vt:lpstr>
      <vt:lpstr>'8.税费'!Print_Titles</vt:lpstr>
    </vt:vector>
  </TitlesOfParts>
  <Company>home-company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zmsiwei</dc:creator>
  <cp:lastModifiedBy>zuo</cp:lastModifiedBy>
  <cp:lastPrinted>2023-09-20T06:34:23Z</cp:lastPrinted>
  <dcterms:created xsi:type="dcterms:W3CDTF">2001-09-11T14:02:51Z</dcterms:created>
  <dcterms:modified xsi:type="dcterms:W3CDTF">2023-09-20T06:58:16Z</dcterms:modified>
</cp:coreProperties>
</file>