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72" firstSheet="4" activeTab="5"/>
  </bookViews>
  <sheets>
    <sheet name="QMNMJNY" sheetId="1" state="hidden" r:id="rId1"/>
    <sheet name="2023年一般收入预计" sheetId="2" r:id="rId2"/>
    <sheet name="2023年一般支出预计" sheetId="3" r:id="rId3"/>
    <sheet name="2023年一般平衡预计" sheetId="4" r:id="rId4"/>
    <sheet name="2023年基金收入预计" sheetId="5" r:id="rId5"/>
    <sheet name="2023年基金支出预计" sheetId="6" r:id="rId6"/>
    <sheet name="2023年基金收支预计" sheetId="7" r:id="rId7"/>
    <sheet name="2023年社保基金" sheetId="8" r:id="rId8"/>
    <sheet name="2023年社保平衡" sheetId="9" r:id="rId9"/>
    <sheet name="2023年国有资本预计" sheetId="10" r:id="rId10"/>
    <sheet name="2024年一般收入" sheetId="11" r:id="rId11"/>
    <sheet name="2024年一般支出" sheetId="12" r:id="rId12"/>
    <sheet name="ILSLUQGI" sheetId="13" state="veryHidden" r:id="rId13"/>
    <sheet name="2024年一般平衡" sheetId="14" r:id="rId14"/>
    <sheet name="2024年基金收支" sheetId="15" r:id="rId15"/>
    <sheet name="2024年社保基金" sheetId="16" r:id="rId16"/>
    <sheet name="2024年国有资本" sheetId="17" r:id="rId17"/>
  </sheets>
  <definedNames>
    <definedName name="_xlnm.Print_Area" localSheetId="1">'2023年一般收入预计'!$A$1:$H$27</definedName>
    <definedName name="_xlnm.Print_Area" localSheetId="3">'2023年一般平衡预计'!$A$1:$D$29</definedName>
    <definedName name="_xlnm.Print_Area" localSheetId="2">'2023年一般支出预计'!$A$1:$G$28</definedName>
    <definedName name="_xlnm.Print_Area" localSheetId="10">'2024年一般收入'!$A$1:$D$27</definedName>
    <definedName name="_xlnm.Print_Area" localSheetId="4">'2023年基金收入预计'!$A$1:$F$11</definedName>
    <definedName name="_xlnm.Print_Area" localSheetId="5">'2023年基金支出预计'!$A$1:$G$18</definedName>
    <definedName name="_xlnm.Print_Area" localSheetId="11">'2024年一般支出'!$A$1:$D$26</definedName>
    <definedName name="_xlnm.Print_Titles" localSheetId="5">'2023年基金支出预计'!$2:$5</definedName>
    <definedName name="_xlnm.Print_Area" localSheetId="7">'2023年社保基金'!$A$1:$F$12</definedName>
    <definedName name="_xlnm.Print_Area" localSheetId="8">'2023年社保平衡'!$A$1:$F$8</definedName>
    <definedName name="_xlnm.Print_Area" localSheetId="13">'2024年一般平衡'!$A$1:$D$24</definedName>
  </definedNames>
  <calcPr fullCalcOnLoad="1"/>
</workbook>
</file>

<file path=xl/sharedStrings.xml><?xml version="1.0" encoding="utf-8"?>
<sst xmlns="http://schemas.openxmlformats.org/spreadsheetml/2006/main" count="392" uniqueCount="278">
  <si>
    <t>附件1</t>
  </si>
  <si>
    <t>临泽县2023年一般公共预算收入预计情况表</t>
  </si>
  <si>
    <t>单位：万元</t>
  </si>
  <si>
    <t>项  目</t>
  </si>
  <si>
    <t>预算数</t>
  </si>
  <si>
    <t>预计执行数</t>
  </si>
  <si>
    <r>
      <t>占预算</t>
    </r>
    <r>
      <rPr>
        <b/>
        <sz val="12"/>
        <rFont val="Times New Roman"/>
        <family val="1"/>
      </rPr>
      <t>%</t>
    </r>
  </si>
  <si>
    <t>与上年比较</t>
  </si>
  <si>
    <t>上年执行数</t>
  </si>
  <si>
    <t>上年
执行数</t>
  </si>
  <si>
    <t>增减额</t>
  </si>
  <si>
    <r>
      <t>增减</t>
    </r>
    <r>
      <rPr>
        <b/>
        <sz val="12"/>
        <rFont val="Times New Roman"/>
        <family val="1"/>
      </rPr>
      <t>%</t>
    </r>
  </si>
  <si>
    <t xml:space="preserve">  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</si>
  <si>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</si>
  <si>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</si>
  <si>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</si>
  <si>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</si>
  <si>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</si>
  <si>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</si>
  <si>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</si>
  <si>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</si>
  <si>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</si>
  <si>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</si>
  <si>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契税</t>
  </si>
  <si>
    <t>环境保护税</t>
  </si>
  <si>
    <t xml:space="preserve">   二、非税收入</t>
  </si>
  <si>
    <r>
      <t>专项收入</t>
    </r>
    <r>
      <rPr>
        <sz val="12"/>
        <rFont val="Times New Roman"/>
        <family val="1"/>
      </rPr>
      <t xml:space="preserve">              </t>
    </r>
  </si>
  <si>
    <r>
      <t>行政事业性收费收入</t>
    </r>
    <r>
      <rPr>
        <sz val="12"/>
        <rFont val="Times New Roman"/>
        <family val="1"/>
      </rPr>
      <t xml:space="preserve">        </t>
    </r>
  </si>
  <si>
    <r>
      <t>罚没收入</t>
    </r>
    <r>
      <rPr>
        <sz val="12"/>
        <rFont val="Times New Roman"/>
        <family val="1"/>
      </rPr>
      <t xml:space="preserve">              </t>
    </r>
  </si>
  <si>
    <t>国有资源资产有偿使用收入</t>
  </si>
  <si>
    <t>政府性住房基金收入</t>
  </si>
  <si>
    <t>捐赠收入</t>
  </si>
  <si>
    <t>其他收入</t>
  </si>
  <si>
    <t>一般公共预算收入合计</t>
  </si>
  <si>
    <t>附件2</t>
  </si>
  <si>
    <t>临泽县2023年一般公共预算支出预计情况表</t>
  </si>
  <si>
    <t>变动预算数</t>
  </si>
  <si>
    <t>与上年同期比较</t>
  </si>
  <si>
    <t>上年同期执行数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</si>
  <si>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</si>
  <si>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</si>
  <si>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</si>
  <si>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</si>
  <si>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</si>
  <si>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</si>
  <si>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</si>
  <si>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</si>
  <si>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</si>
  <si>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</si>
  <si>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</si>
  <si>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</si>
  <si>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</si>
  <si>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</si>
  <si>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</si>
  <si>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</si>
  <si>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</si>
  <si>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</si>
  <si>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</si>
  <si>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二十、债务付息支出</t>
  </si>
  <si>
    <t>二十一、债务发行费用支出</t>
  </si>
  <si>
    <t>二十二、其他支出</t>
  </si>
  <si>
    <t>一般公共预算支出合计</t>
  </si>
  <si>
    <t>附件3</t>
  </si>
  <si>
    <t>临泽县2023年一般公共预算收支平衡预计情况表</t>
  </si>
  <si>
    <t>单位:万元</t>
  </si>
  <si>
    <t>收入项目</t>
  </si>
  <si>
    <t>预计数</t>
  </si>
  <si>
    <t>支出项目</t>
  </si>
  <si>
    <t>公共财政预算收入</t>
  </si>
  <si>
    <t>一般公共预算支出</t>
  </si>
  <si>
    <t>返还性收入</t>
  </si>
  <si>
    <t>上解上级支出</t>
  </si>
  <si>
    <t>增值税和消费税税收返还收入</t>
  </si>
  <si>
    <t>专项上解支出</t>
  </si>
  <si>
    <t>所得税基数返还收入</t>
  </si>
  <si>
    <t>生态环境机构经费基数上划</t>
  </si>
  <si>
    <r>
      <t>成品油价格和税费改革税收返还收入</t>
    </r>
    <r>
      <rPr>
        <sz val="12"/>
        <rFont val="Times New Roman"/>
        <family val="1"/>
      </rPr>
      <t xml:space="preserve"> </t>
    </r>
  </si>
  <si>
    <t>税务部门经费上划</t>
  </si>
  <si>
    <t>营改增收入划分调整基数返还</t>
  </si>
  <si>
    <t>其他上解支出</t>
  </si>
  <si>
    <t>一般性转移支付收入</t>
  </si>
  <si>
    <t>均衡性转移支付收入</t>
  </si>
  <si>
    <t>县级基本财力保障机制奖补资金收入</t>
  </si>
  <si>
    <t>增值税留抵退税转移支付收入</t>
  </si>
  <si>
    <t>巩固脱贫攻坚成果衔接乡村振兴转移支付收入</t>
  </si>
  <si>
    <t>结算补助收入</t>
  </si>
  <si>
    <t>企业事业单位划转补助收入</t>
  </si>
  <si>
    <t>共同财政事权转移支付收入</t>
  </si>
  <si>
    <t>产粮(油)大县奖励资金收入</t>
  </si>
  <si>
    <t>重点生态功能区转移支付收入</t>
  </si>
  <si>
    <t>固定数额补助收入</t>
  </si>
  <si>
    <t>补充县区财力转移支付收入</t>
  </si>
  <si>
    <t>区域间转移支付支出</t>
  </si>
  <si>
    <t>其他一般性转移支付收入</t>
  </si>
  <si>
    <t>债务还本支出</t>
  </si>
  <si>
    <t>专项转移支付收入</t>
  </si>
  <si>
    <t>安排预算稳定调节基金</t>
  </si>
  <si>
    <t>上年结余</t>
  </si>
  <si>
    <t>年终结余</t>
  </si>
  <si>
    <t>债务（转贷）收入</t>
  </si>
  <si>
    <t>减:结转下年的支出</t>
  </si>
  <si>
    <t>调入预算稳定调节基金</t>
  </si>
  <si>
    <t>区域间转移支付收入</t>
  </si>
  <si>
    <t>净结余</t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</si>
  <si>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计</t>
    </r>
  </si>
  <si>
    <t>附件4</t>
  </si>
  <si>
    <t>临泽县2023年政府性基金预算收入预计情况表</t>
  </si>
  <si>
    <t>项　　　　目</t>
  </si>
  <si>
    <t>预 计
执行数</t>
  </si>
  <si>
    <t>预计占
预算%</t>
  </si>
  <si>
    <t>上年决算数</t>
  </si>
  <si>
    <t>同比增减%</t>
  </si>
  <si>
    <t>政府性基金收入合计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</si>
  <si>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</si>
  <si>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</si>
  <si>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</si>
  <si>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</si>
  <si>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</si>
  <si>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专项债务对应项目专项收入</t>
  </si>
  <si>
    <t>附件5</t>
  </si>
  <si>
    <t>临泽县2023年政府性基金预算支出预计情况表</t>
  </si>
  <si>
    <t>占预算%</t>
  </si>
  <si>
    <t>政府性基金支出合计</t>
  </si>
  <si>
    <t xml:space="preserve">    国有土地使用权出让收入安排的支出</t>
  </si>
  <si>
    <t xml:space="preserve">    农业土地开发资金安排的支出</t>
  </si>
  <si>
    <t xml:space="preserve">    城市基础设施配套费及对应专项债务收入安排的支出</t>
  </si>
  <si>
    <t xml:space="preserve">    污水处理费及对应专项债务收入安排的支出</t>
  </si>
  <si>
    <t xml:space="preserve">    大中型水库移民后期扶持基金支出</t>
  </si>
  <si>
    <t xml:space="preserve">    大中型水库库区基金安排的支出</t>
  </si>
  <si>
    <t xml:space="preserve">    彩票公益金收入安排的支出</t>
  </si>
  <si>
    <t xml:space="preserve">    民航发展基金支出</t>
  </si>
  <si>
    <t xml:space="preserve">    债务付息支出</t>
  </si>
  <si>
    <t xml:space="preserve">    债务发行费用支出</t>
  </si>
  <si>
    <t xml:space="preserve">    棚户区改造专项债券收入安排的支出</t>
  </si>
  <si>
    <t xml:space="preserve">    其他政府性基金及对应专项债务收入安排的支出</t>
  </si>
  <si>
    <t>附件6</t>
  </si>
  <si>
    <t>临泽县2023年政府性基金收支平衡预计情况表</t>
  </si>
  <si>
    <t>预算科目</t>
  </si>
  <si>
    <t>政府性基金收入</t>
  </si>
  <si>
    <t>政府性基金支出</t>
  </si>
  <si>
    <t>政府性基金上级补助收入</t>
  </si>
  <si>
    <t>政府性基金补助下级支出</t>
  </si>
  <si>
    <t>政府性基金上年结余</t>
  </si>
  <si>
    <t>政府性基金调出资金</t>
  </si>
  <si>
    <t>调入资金</t>
  </si>
  <si>
    <t>政府性基金年终结余</t>
  </si>
  <si>
    <t>专项债务收入</t>
  </si>
  <si>
    <t>收　　入　　总　　计　</t>
  </si>
  <si>
    <t>支　　出　　总　　计</t>
  </si>
  <si>
    <t>附件7</t>
  </si>
  <si>
    <t>临泽县2023年社保基金收支预计情况表</t>
  </si>
  <si>
    <t>项目及名称</t>
  </si>
  <si>
    <t>2023年   预算数</t>
  </si>
  <si>
    <t>2023年预计完成数</t>
  </si>
  <si>
    <t>占预算的%</t>
  </si>
  <si>
    <t>增减%</t>
  </si>
  <si>
    <t>一、社保基金收入合计</t>
  </si>
  <si>
    <t>1.城乡居民基本养老保险基金收入</t>
  </si>
  <si>
    <t>2.机关事业单位养老保险基金收入</t>
  </si>
  <si>
    <t>二、社保基金支出合计</t>
  </si>
  <si>
    <t>1.城乡居民基本养老保险基金支出</t>
  </si>
  <si>
    <t>2.机关事业单位养老保险基金支出</t>
  </si>
  <si>
    <t>附件8</t>
  </si>
  <si>
    <t>临泽县2023年社保基金收支平衡预计情况表</t>
  </si>
  <si>
    <t>2023年基金收入（含上级补助）</t>
  </si>
  <si>
    <t>2023年基金支出（含上解上级支出）</t>
  </si>
  <si>
    <t>累计结余</t>
  </si>
  <si>
    <t>其中：当年结余</t>
  </si>
  <si>
    <t xml:space="preserve">   社保基金平衡情况</t>
  </si>
  <si>
    <t>1.城乡居民基本养老保险基金</t>
  </si>
  <si>
    <t>2.机关事业单位养老保险基金</t>
  </si>
  <si>
    <t>附件9</t>
  </si>
  <si>
    <t>临泽县2023年国有资本经营预算收支平衡情况表</t>
  </si>
  <si>
    <t>本级收入</t>
  </si>
  <si>
    <t>国有企业退休人员社会化管理补助支出</t>
  </si>
  <si>
    <t>上级补助收入</t>
  </si>
  <si>
    <t>其他国有资本经营预算支出</t>
  </si>
  <si>
    <t>国有资本经营预算调出资金</t>
  </si>
  <si>
    <t>结转下年</t>
  </si>
  <si>
    <t>附件10</t>
  </si>
  <si>
    <t>临泽县2024年一般公共预算收入建议情况表</t>
  </si>
  <si>
    <t>2023年预计执行数</t>
  </si>
  <si>
    <t>2024年建议数</t>
  </si>
  <si>
    <r>
      <t>增长</t>
    </r>
    <r>
      <rPr>
        <b/>
        <sz val="12"/>
        <rFont val="Times New Roman"/>
        <family val="1"/>
      </rPr>
      <t>%</t>
    </r>
  </si>
  <si>
    <t>一、税收收入</t>
  </si>
  <si>
    <t>二、非税收入</t>
  </si>
  <si>
    <t>附件11</t>
  </si>
  <si>
    <t>临泽县2024年一般公共预算支出建议情况表</t>
  </si>
  <si>
    <t>上年计划数</t>
  </si>
  <si>
    <t>增长%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</si>
  <si>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</si>
  <si>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</si>
  <si>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</si>
  <si>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</si>
  <si>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</si>
  <si>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二十一、其他支出</t>
  </si>
  <si>
    <t>2012年省财政与市县财政年终决算结算单（临泽）.xls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</si>
  <si>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</si>
  <si>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</si>
  <si>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</si>
  <si>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</si>
  <si>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</si>
  <si>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</si>
  <si>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</si>
  <si>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</si>
  <si>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</si>
  <si>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</si>
  <si>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</si>
  <si>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</si>
  <si>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附件12</t>
  </si>
  <si>
    <t>临泽县2024年一般公共预算收支平衡建议情况表</t>
  </si>
  <si>
    <t>预 算 科 目</t>
  </si>
  <si>
    <t>本年收入小计</t>
  </si>
  <si>
    <t>本年支出小计</t>
  </si>
  <si>
    <t xml:space="preserve">  增值税和消费税税收返还收入</t>
  </si>
  <si>
    <t xml:space="preserve">  专项上解</t>
  </si>
  <si>
    <t xml:space="preserve">  所得税基数返还收入</t>
  </si>
  <si>
    <t xml:space="preserve">  其他上解</t>
  </si>
  <si>
    <t xml:space="preserve">  成品油价格和税费改革税收返还收入</t>
  </si>
  <si>
    <t xml:space="preserve">  营改增收入划分调整基数返还</t>
  </si>
  <si>
    <t>财力性转移支付收入</t>
  </si>
  <si>
    <t>调出资金</t>
  </si>
  <si>
    <t xml:space="preserve">  均衡性转移支付补助收入</t>
  </si>
  <si>
    <t xml:space="preserve">  县级基本财力保障机制奖补资金收入</t>
  </si>
  <si>
    <t xml:space="preserve">  其中:本级</t>
  </si>
  <si>
    <t xml:space="preserve">  结算补助收入</t>
  </si>
  <si>
    <t xml:space="preserve">  企事业单位预算划转补助收入</t>
  </si>
  <si>
    <t xml:space="preserve">  重点生态功能区转移支付收入</t>
  </si>
  <si>
    <t xml:space="preserve">  增值税留抵退税转移支付收入</t>
  </si>
  <si>
    <t xml:space="preserve">  固定数额补助收入</t>
  </si>
  <si>
    <t>特殊转移支付资金</t>
  </si>
  <si>
    <t>上级提前下达的专项转移支付资金</t>
  </si>
  <si>
    <t>调入存量资金</t>
  </si>
  <si>
    <t>总    计</t>
  </si>
  <si>
    <t xml:space="preserve">                                                   </t>
  </si>
  <si>
    <t>附件13</t>
  </si>
  <si>
    <t>临泽县2024年政府性基金收支平衡建议情况表</t>
  </si>
  <si>
    <t>建议数</t>
  </si>
  <si>
    <t>一、本级政府性基金预算收入</t>
  </si>
  <si>
    <t>一、本级政府性基金预算支出</t>
  </si>
  <si>
    <t xml:space="preserve">  国有土地使用权出让收入</t>
  </si>
  <si>
    <t>土地出让金收入安排的支出</t>
  </si>
  <si>
    <t xml:space="preserve">  国有土地收益基金收入</t>
  </si>
  <si>
    <t>城市基础设施配套费支出</t>
  </si>
  <si>
    <t xml:space="preserve">  城市基础设施配套费收入</t>
  </si>
  <si>
    <t>国有土地收益基金支出</t>
  </si>
  <si>
    <t xml:space="preserve">  污水处理费收入</t>
  </si>
  <si>
    <t>污水处理费支出</t>
  </si>
  <si>
    <t>二、上级提前下达的专项转移支付</t>
  </si>
  <si>
    <t>彩票公益金安排的支出</t>
  </si>
  <si>
    <t>三、债务转贷收入</t>
  </si>
  <si>
    <t>大中型水库移民后期扶持基金支出</t>
  </si>
  <si>
    <t>四、上年结余</t>
  </si>
  <si>
    <t>债务付息支出</t>
  </si>
  <si>
    <t>五、专项债务对应项目专项收入</t>
  </si>
  <si>
    <t>其他地方自行试点项目收益专项债券收入安排的支出</t>
  </si>
  <si>
    <t>二、债务还本支出</t>
  </si>
  <si>
    <t>附件14</t>
  </si>
  <si>
    <t>临泽县2024年社会保险基金收支建议情况表</t>
  </si>
  <si>
    <t>项    目</t>
  </si>
  <si>
    <t>合计</t>
  </si>
  <si>
    <t>城乡居民基本养老保险基金</t>
  </si>
  <si>
    <t>机关事业单位基本养老保险基金</t>
  </si>
  <si>
    <t>一、上年累计结余</t>
  </si>
  <si>
    <t>二、本年收入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</si>
  <si>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</si>
  <si>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</si>
  <si>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</si>
  <si>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</si>
  <si>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</si>
  <si>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三、本年支出</t>
  </si>
  <si>
    <t xml:space="preserve">   其中:1.社会保险待遇支出</t>
  </si>
  <si>
    <t xml:space="preserve">        2.其他支出</t>
  </si>
  <si>
    <t xml:space="preserve">        3.转移支出</t>
  </si>
  <si>
    <t>四、本年收支结余</t>
  </si>
  <si>
    <t>五、年末滚存结余</t>
  </si>
  <si>
    <t>附件15</t>
  </si>
  <si>
    <t>临泽县2024年国有资本经营预算收支建议情况表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</si>
</sst>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_);[Red]\(0\)"/>
    <numFmt numFmtId="181" formatCode="#,##0.0"/>
    <numFmt numFmtId="182" formatCode="0.00_ "/>
    <numFmt numFmtId="183" formatCode="0.0_ "/>
    <numFmt numFmtId="184" formatCode="0.0"/>
    <numFmt numFmtId="185" formatCode="0_ "/>
    <numFmt numFmtId="186" formatCode="#,##0.0_ "/>
    <numFmt numFmtId="187" formatCode="#,##0.00000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Times New Roman"/>
      <family val="1"/>
    </font>
    <font>
      <sz val="12"/>
      <name val="隶书"/>
      <family val="3"/>
    </font>
    <font>
      <sz val="12"/>
      <name val="楷体_GB2312"/>
      <family val="3"/>
    </font>
    <font>
      <b/>
      <sz val="12"/>
      <name val="楷体_GB2312"/>
      <family val="3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黑体"/>
      <family val="3"/>
    </font>
    <font>
      <b/>
      <sz val="12"/>
      <name val="宋体"/>
      <family val="0"/>
    </font>
    <font>
      <sz val="20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0"/>
      <name val="MS Sans Serif"/>
      <family val="2"/>
    </font>
    <font>
      <sz val="10"/>
      <name val="Helv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color indexed="16"/>
      <name val="等线"/>
      <family val="0"/>
    </font>
    <font>
      <sz val="12"/>
      <name val="바탕체"/>
      <family val="3"/>
    </font>
    <font>
      <sz val="11"/>
      <name val="ＭＳ Ｐゴシック"/>
      <family val="2"/>
    </font>
    <font>
      <sz val="11"/>
      <color indexed="17"/>
      <name val="等线"/>
      <family val="0"/>
    </font>
    <font>
      <sz val="11"/>
      <name val="蹈框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3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40" fillId="3" borderId="0" applyNumberFormat="0" applyBorder="0" applyAlignment="0" applyProtection="0"/>
    <xf numFmtId="0" fontId="40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10" fontId="41" fillId="4" borderId="1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0" fontId="12" fillId="0" borderId="0" applyFon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41" fillId="10" borderId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4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4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4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36" fillId="15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>
      <alignment/>
      <protection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>
      <alignment/>
      <protection/>
    </xf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 applyBorder="0">
      <alignment/>
      <protection/>
    </xf>
  </cellStyleXfs>
  <cellXfs count="271">
    <xf numFmtId="0" fontId="0" fillId="0" borderId="0" xfId="0" applyAlignment="1">
      <alignment vertical="center"/>
    </xf>
    <xf numFmtId="49" fontId="2" fillId="4" borderId="0" xfId="343" applyNumberFormat="1" applyFont="1" applyFill="1" applyAlignment="1" applyProtection="1">
      <alignment vertical="center"/>
      <protection locked="0"/>
    </xf>
    <xf numFmtId="1" fontId="3" fillId="0" borderId="0" xfId="344" applyNumberFormat="1" applyFont="1" applyAlignment="1">
      <alignment horizontal="center" vertical="center"/>
      <protection/>
    </xf>
    <xf numFmtId="0" fontId="4" fillId="0" borderId="0" xfId="318" applyNumberFormat="1" applyFont="1" applyFill="1" applyAlignment="1" applyProtection="1">
      <alignment horizontal="right" vertical="center"/>
      <protection/>
    </xf>
    <xf numFmtId="0" fontId="5" fillId="0" borderId="10" xfId="318" applyNumberFormat="1" applyFont="1" applyFill="1" applyBorder="1" applyAlignment="1" applyProtection="1">
      <alignment horizontal="center" vertical="center"/>
      <protection/>
    </xf>
    <xf numFmtId="0" fontId="5" fillId="0" borderId="11" xfId="318" applyNumberFormat="1" applyFont="1" applyFill="1" applyBorder="1" applyAlignment="1" applyProtection="1">
      <alignment horizontal="center" vertical="center"/>
      <protection/>
    </xf>
    <xf numFmtId="0" fontId="6" fillId="0" borderId="12" xfId="318" applyNumberFormat="1" applyFont="1" applyFill="1" applyBorder="1" applyAlignment="1" applyProtection="1">
      <alignment horizontal="left" vertical="center"/>
      <protection/>
    </xf>
    <xf numFmtId="0" fontId="4" fillId="0" borderId="10" xfId="318" applyNumberFormat="1" applyFont="1" applyFill="1" applyBorder="1" applyAlignment="1" applyProtection="1">
      <alignment horizontal="center" vertical="center"/>
      <protection/>
    </xf>
    <xf numFmtId="0" fontId="6" fillId="0" borderId="13" xfId="318" applyNumberFormat="1" applyFont="1" applyFill="1" applyBorder="1" applyAlignment="1" applyProtection="1">
      <alignment horizontal="left" vertical="center" wrapText="1"/>
      <protection/>
    </xf>
    <xf numFmtId="0" fontId="6" fillId="0" borderId="12" xfId="318" applyNumberFormat="1" applyFont="1" applyFill="1" applyBorder="1" applyAlignment="1" applyProtection="1">
      <alignment vertical="center"/>
      <protection/>
    </xf>
    <xf numFmtId="0" fontId="6" fillId="0" borderId="13" xfId="318" applyNumberFormat="1" applyFont="1" applyFill="1" applyBorder="1" applyAlignment="1" applyProtection="1">
      <alignment vertical="center"/>
      <protection/>
    </xf>
    <xf numFmtId="0" fontId="4" fillId="0" borderId="11" xfId="318" applyNumberFormat="1" applyFont="1" applyFill="1" applyBorder="1" applyAlignment="1" applyProtection="1">
      <alignment horizontal="center" vertical="center"/>
      <protection/>
    </xf>
    <xf numFmtId="0" fontId="4" fillId="0" borderId="14" xfId="318" applyNumberFormat="1" applyFont="1" applyFill="1" applyBorder="1" applyAlignment="1" applyProtection="1">
      <alignment horizontal="center" vertical="center"/>
      <protection/>
    </xf>
    <xf numFmtId="0" fontId="7" fillId="0" borderId="12" xfId="318" applyNumberFormat="1" applyFont="1" applyFill="1" applyBorder="1" applyAlignment="1" applyProtection="1">
      <alignment horizontal="center" vertical="center"/>
      <protection/>
    </xf>
    <xf numFmtId="0" fontId="7" fillId="0" borderId="13" xfId="318" applyNumberFormat="1" applyFont="1" applyFill="1" applyBorder="1" applyAlignment="1" applyProtection="1">
      <alignment horizontal="center" vertical="center"/>
      <protection/>
    </xf>
    <xf numFmtId="0" fontId="3" fillId="0" borderId="0" xfId="254" applyNumberFormat="1" applyFont="1" applyFill="1" applyAlignment="1" applyProtection="1">
      <alignment horizontal="center" vertical="center"/>
      <protection/>
    </xf>
    <xf numFmtId="0" fontId="4" fillId="0" borderId="0" xfId="254" applyNumberFormat="1" applyFont="1" applyFill="1" applyAlignment="1" applyProtection="1">
      <alignment horizontal="right" vertical="center"/>
      <protection/>
    </xf>
    <xf numFmtId="0" fontId="5" fillId="0" borderId="10" xfId="254" applyNumberFormat="1" applyFont="1" applyFill="1" applyBorder="1" applyAlignment="1" applyProtection="1">
      <alignment horizontal="center" vertical="center"/>
      <protection/>
    </xf>
    <xf numFmtId="0" fontId="5" fillId="0" borderId="10" xfId="254" applyNumberFormat="1" applyFont="1" applyFill="1" applyBorder="1" applyAlignment="1" applyProtection="1">
      <alignment horizontal="center" vertical="center" wrapText="1"/>
      <protection/>
    </xf>
    <xf numFmtId="0" fontId="5" fillId="0" borderId="10" xfId="254" applyNumberFormat="1" applyFont="1" applyFill="1" applyBorder="1" applyAlignment="1" applyProtection="1">
      <alignment horizontal="left" vertical="center"/>
      <protection/>
    </xf>
    <xf numFmtId="0" fontId="5" fillId="0" borderId="11" xfId="318" applyNumberFormat="1" applyFont="1" applyFill="1" applyBorder="1" applyAlignment="1" applyProtection="1">
      <alignment horizontal="center" vertical="center"/>
      <protection/>
    </xf>
    <xf numFmtId="0" fontId="5" fillId="0" borderId="10" xfId="254" applyNumberFormat="1" applyFont="1" applyFill="1" applyBorder="1" applyAlignment="1" applyProtection="1">
      <alignment vertical="center"/>
      <protection/>
    </xf>
    <xf numFmtId="0" fontId="4" fillId="0" borderId="10" xfId="254" applyNumberFormat="1" applyFont="1" applyFill="1" applyBorder="1" applyAlignment="1" applyProtection="1">
      <alignment vertical="center"/>
      <protection/>
    </xf>
    <xf numFmtId="180" fontId="8" fillId="21" borderId="10" xfId="343" applyNumberFormat="1" applyFont="1" applyFill="1" applyBorder="1" applyAlignment="1" applyProtection="1">
      <alignment horizontal="center" vertical="center"/>
      <protection locked="0"/>
    </xf>
    <xf numFmtId="0" fontId="4" fillId="0" borderId="10" xfId="254" applyNumberFormat="1" applyFont="1" applyFill="1" applyBorder="1" applyAlignment="1" applyProtection="1">
      <alignment vertical="center" wrapText="1"/>
      <protection/>
    </xf>
    <xf numFmtId="0" fontId="0" fillId="0" borderId="0" xfId="318">
      <alignment/>
      <protection/>
    </xf>
    <xf numFmtId="0" fontId="5" fillId="0" borderId="12" xfId="318" applyNumberFormat="1" applyFont="1" applyFill="1" applyBorder="1" applyAlignment="1" applyProtection="1">
      <alignment horizontal="left" vertical="center"/>
      <protection/>
    </xf>
    <xf numFmtId="0" fontId="7" fillId="0" borderId="13" xfId="318" applyNumberFormat="1" applyFont="1" applyFill="1" applyBorder="1" applyAlignment="1" applyProtection="1">
      <alignment vertical="center"/>
      <protection/>
    </xf>
    <xf numFmtId="0" fontId="4" fillId="0" borderId="11" xfId="318" applyNumberFormat="1" applyFont="1" applyFill="1" applyBorder="1" applyAlignment="1" applyProtection="1">
      <alignment horizontal="center" vertical="center"/>
      <protection/>
    </xf>
    <xf numFmtId="0" fontId="6" fillId="0" borderId="13" xfId="318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318" applyNumberFormat="1" applyFont="1" applyFill="1" applyBorder="1" applyAlignment="1" applyProtection="1">
      <alignment vertical="center" wrapText="1"/>
      <protection/>
    </xf>
    <xf numFmtId="0" fontId="9" fillId="0" borderId="0" xfId="343" applyFont="1" applyFill="1" applyProtection="1">
      <alignment/>
      <protection locked="0"/>
    </xf>
    <xf numFmtId="0" fontId="0" fillId="0" borderId="0" xfId="343" applyFont="1" applyFill="1" applyProtection="1">
      <alignment/>
      <protection locked="0"/>
    </xf>
    <xf numFmtId="0" fontId="10" fillId="0" borderId="0" xfId="343" applyFont="1" applyFill="1" applyProtection="1">
      <alignment/>
      <protection locked="0"/>
    </xf>
    <xf numFmtId="0" fontId="11" fillId="0" borderId="0" xfId="343" applyFont="1" applyFill="1" applyAlignment="1" applyProtection="1">
      <alignment vertical="center"/>
      <protection locked="0"/>
    </xf>
    <xf numFmtId="0" fontId="10" fillId="0" borderId="0" xfId="343" applyFont="1" applyFill="1" applyAlignment="1" applyProtection="1">
      <alignment vertical="center"/>
      <protection locked="0"/>
    </xf>
    <xf numFmtId="49" fontId="10" fillId="0" borderId="0" xfId="343" applyNumberFormat="1" applyFont="1" applyFill="1" applyProtection="1">
      <alignment/>
      <protection locked="0"/>
    </xf>
    <xf numFmtId="3" fontId="10" fillId="0" borderId="0" xfId="343" applyNumberFormat="1" applyFont="1" applyFill="1" applyProtection="1">
      <alignment/>
      <protection locked="0"/>
    </xf>
    <xf numFmtId="181" fontId="10" fillId="0" borderId="0" xfId="343" applyNumberFormat="1" applyFont="1" applyFill="1" applyProtection="1">
      <alignment/>
      <protection locked="0"/>
    </xf>
    <xf numFmtId="0" fontId="3" fillId="0" borderId="0" xfId="121" applyNumberFormat="1" applyFont="1" applyFill="1" applyBorder="1" applyAlignment="1" applyProtection="1">
      <alignment horizontal="center" vertical="center"/>
      <protection/>
    </xf>
    <xf numFmtId="0" fontId="0" fillId="0" borderId="0" xfId="121">
      <alignment vertical="center"/>
      <protection/>
    </xf>
    <xf numFmtId="0" fontId="1" fillId="0" borderId="15" xfId="121" applyNumberFormat="1" applyFont="1" applyFill="1" applyBorder="1" applyAlignment="1" applyProtection="1">
      <alignment vertical="center"/>
      <protection/>
    </xf>
    <xf numFmtId="0" fontId="4" fillId="0" borderId="15" xfId="121" applyNumberFormat="1" applyFont="1" applyFill="1" applyBorder="1" applyAlignment="1" applyProtection="1">
      <alignment horizontal="right" vertical="center"/>
      <protection/>
    </xf>
    <xf numFmtId="0" fontId="4" fillId="0" borderId="10" xfId="121" applyNumberFormat="1" applyFont="1" applyFill="1" applyBorder="1" applyAlignment="1" applyProtection="1">
      <alignment horizontal="center" vertical="center" wrapText="1"/>
      <protection/>
    </xf>
    <xf numFmtId="0" fontId="5" fillId="0" borderId="10" xfId="121" applyNumberFormat="1" applyFont="1" applyFill="1" applyBorder="1" applyAlignment="1" applyProtection="1">
      <alignment horizontal="left" vertical="center" wrapText="1"/>
      <protection/>
    </xf>
    <xf numFmtId="3" fontId="5" fillId="0" borderId="10" xfId="121" applyNumberFormat="1" applyFont="1" applyFill="1" applyBorder="1" applyAlignment="1" applyProtection="1">
      <alignment horizontal="center" vertical="center" wrapText="1"/>
      <protection/>
    </xf>
    <xf numFmtId="3" fontId="5" fillId="0" borderId="10" xfId="121" applyNumberFormat="1" applyFont="1" applyFill="1" applyBorder="1" applyAlignment="1" applyProtection="1">
      <alignment horizontal="left" vertical="center" wrapText="1"/>
      <protection/>
    </xf>
    <xf numFmtId="0" fontId="5" fillId="0" borderId="10" xfId="121" applyNumberFormat="1" applyFont="1" applyFill="1" applyBorder="1" applyAlignment="1" applyProtection="1">
      <alignment vertical="center" wrapText="1"/>
      <protection/>
    </xf>
    <xf numFmtId="0" fontId="5" fillId="0" borderId="10" xfId="121" applyFont="1" applyFill="1" applyBorder="1" applyAlignment="1">
      <alignment vertical="center" wrapText="1"/>
      <protection/>
    </xf>
    <xf numFmtId="0" fontId="4" fillId="0" borderId="10" xfId="121" applyNumberFormat="1" applyFont="1" applyFill="1" applyBorder="1" applyAlignment="1" applyProtection="1">
      <alignment horizontal="left" vertical="center" wrapText="1"/>
      <protection/>
    </xf>
    <xf numFmtId="3" fontId="4" fillId="0" borderId="10" xfId="121" applyNumberFormat="1" applyFont="1" applyFill="1" applyBorder="1" applyAlignment="1" applyProtection="1">
      <alignment horizontal="center" vertical="center" wrapText="1"/>
      <protection/>
    </xf>
    <xf numFmtId="0" fontId="4" fillId="0" borderId="10" xfId="121" applyFont="1" applyFill="1" applyBorder="1" applyAlignment="1">
      <alignment vertical="center" wrapText="1"/>
      <protection/>
    </xf>
    <xf numFmtId="0" fontId="4" fillId="0" borderId="10" xfId="121" applyFont="1" applyFill="1" applyBorder="1" applyAlignment="1">
      <alignment vertical="center" wrapText="1"/>
      <protection/>
    </xf>
    <xf numFmtId="3" fontId="4" fillId="0" borderId="10" xfId="121" applyNumberFormat="1" applyFont="1" applyFill="1" applyBorder="1" applyAlignment="1" applyProtection="1">
      <alignment horizontal="left" vertical="center" wrapText="1"/>
      <protection/>
    </xf>
    <xf numFmtId="0" fontId="12" fillId="0" borderId="0" xfId="356">
      <alignment/>
      <protection/>
    </xf>
    <xf numFmtId="0" fontId="13" fillId="6" borderId="0" xfId="356" applyFont="1" applyFill="1">
      <alignment/>
      <protection/>
    </xf>
    <xf numFmtId="0" fontId="12" fillId="6" borderId="0" xfId="356" applyFill="1">
      <alignment/>
      <protection/>
    </xf>
    <xf numFmtId="0" fontId="12" fillId="8" borderId="16" xfId="356" applyFill="1" applyBorder="1">
      <alignment/>
      <protection/>
    </xf>
    <xf numFmtId="0" fontId="14" fillId="22" borderId="17" xfId="356" applyFont="1" applyFill="1" applyBorder="1" applyAlignment="1">
      <alignment horizontal="center"/>
      <protection/>
    </xf>
    <xf numFmtId="0" fontId="15" fillId="23" borderId="18" xfId="356" applyFont="1" applyFill="1" applyBorder="1" applyAlignment="1">
      <alignment horizontal="center"/>
      <protection/>
    </xf>
    <xf numFmtId="0" fontId="14" fillId="22" borderId="18" xfId="356" applyFont="1" applyFill="1" applyBorder="1" applyAlignment="1">
      <alignment horizontal="center"/>
      <protection/>
    </xf>
    <xf numFmtId="0" fontId="14" fillId="22" borderId="19" xfId="356" applyFont="1" applyFill="1" applyBorder="1" applyAlignment="1">
      <alignment horizontal="center"/>
      <protection/>
    </xf>
    <xf numFmtId="0" fontId="12" fillId="8" borderId="11" xfId="356" applyFill="1" applyBorder="1">
      <alignment/>
      <protection/>
    </xf>
    <xf numFmtId="0" fontId="0" fillId="0" borderId="0" xfId="342">
      <alignment/>
      <protection/>
    </xf>
    <xf numFmtId="0" fontId="12" fillId="8" borderId="20" xfId="356" applyFill="1" applyBorder="1">
      <alignment/>
      <protection/>
    </xf>
    <xf numFmtId="0" fontId="11" fillId="0" borderId="0" xfId="343" applyFont="1" applyFill="1" applyProtection="1">
      <alignment/>
      <protection locked="0"/>
    </xf>
    <xf numFmtId="49" fontId="3" fillId="0" borderId="0" xfId="343" applyNumberFormat="1" applyFont="1" applyFill="1" applyAlignment="1" applyProtection="1">
      <alignment horizontal="center" vertical="center"/>
      <protection locked="0"/>
    </xf>
    <xf numFmtId="49" fontId="8" fillId="0" borderId="0" xfId="343" applyNumberFormat="1" applyFont="1" applyFill="1" applyProtection="1">
      <alignment/>
      <protection locked="0"/>
    </xf>
    <xf numFmtId="3" fontId="8" fillId="0" borderId="0" xfId="343" applyNumberFormat="1" applyFont="1" applyFill="1" applyProtection="1">
      <alignment/>
      <protection locked="0"/>
    </xf>
    <xf numFmtId="181" fontId="8" fillId="0" borderId="0" xfId="343" applyNumberFormat="1" applyFont="1" applyFill="1" applyProtection="1">
      <alignment/>
      <protection locked="0"/>
    </xf>
    <xf numFmtId="181" fontId="4" fillId="0" borderId="0" xfId="343" applyNumberFormat="1" applyFont="1" applyFill="1" applyAlignment="1" applyProtection="1">
      <alignment horizontal="right"/>
      <protection locked="0"/>
    </xf>
    <xf numFmtId="1" fontId="5" fillId="0" borderId="10" xfId="344" applyNumberFormat="1" applyFont="1" applyFill="1" applyBorder="1" applyAlignment="1">
      <alignment horizontal="center" vertical="center" wrapText="1"/>
      <protection/>
    </xf>
    <xf numFmtId="1" fontId="5" fillId="0" borderId="10" xfId="344" applyNumberFormat="1" applyFont="1" applyBorder="1" applyAlignment="1">
      <alignment horizontal="center" vertical="center" wrapText="1"/>
      <protection/>
    </xf>
    <xf numFmtId="182" fontId="5" fillId="0" borderId="10" xfId="344" applyNumberFormat="1" applyFont="1" applyFill="1" applyBorder="1" applyAlignment="1">
      <alignment horizontal="center" vertical="center" wrapText="1"/>
      <protection/>
    </xf>
    <xf numFmtId="1" fontId="5" fillId="0" borderId="10" xfId="358" applyNumberFormat="1" applyFont="1" applyFill="1" applyBorder="1" applyAlignment="1">
      <alignment vertical="center" wrapText="1"/>
      <protection/>
    </xf>
    <xf numFmtId="180" fontId="5" fillId="0" borderId="10" xfId="357" applyNumberFormat="1" applyFont="1" applyFill="1" applyBorder="1" applyAlignment="1">
      <alignment horizontal="center" vertical="center" wrapText="1"/>
      <protection/>
    </xf>
    <xf numFmtId="183" fontId="5" fillId="0" borderId="10" xfId="344" applyNumberFormat="1" applyFont="1" applyFill="1" applyBorder="1" applyAlignment="1">
      <alignment horizontal="center" vertical="center" wrapText="1"/>
      <protection/>
    </xf>
    <xf numFmtId="49" fontId="4" fillId="0" borderId="10" xfId="343" applyNumberFormat="1" applyFont="1" applyFill="1" applyBorder="1" applyAlignment="1" applyProtection="1">
      <alignment vertical="center"/>
      <protection locked="0"/>
    </xf>
    <xf numFmtId="180" fontId="4" fillId="0" borderId="10" xfId="357" applyNumberFormat="1" applyFont="1" applyFill="1" applyBorder="1" applyAlignment="1">
      <alignment horizontal="center" vertical="center" wrapText="1"/>
      <protection/>
    </xf>
    <xf numFmtId="183" fontId="4" fillId="0" borderId="10" xfId="344" applyNumberFormat="1" applyFont="1" applyFill="1" applyBorder="1" applyAlignment="1">
      <alignment horizontal="center" vertical="center" wrapText="1"/>
      <protection/>
    </xf>
    <xf numFmtId="180" fontId="4" fillId="0" borderId="10" xfId="344" applyNumberFormat="1" applyFont="1" applyFill="1" applyBorder="1" applyAlignment="1">
      <alignment horizontal="center" vertical="center" wrapText="1"/>
      <protection/>
    </xf>
    <xf numFmtId="1" fontId="4" fillId="0" borderId="10" xfId="344" applyNumberFormat="1" applyFont="1" applyFill="1" applyBorder="1" applyAlignment="1">
      <alignment vertical="center" wrapText="1"/>
      <protection/>
    </xf>
    <xf numFmtId="0" fontId="4" fillId="0" borderId="10" xfId="123" applyFont="1" applyFill="1" applyBorder="1" applyAlignment="1">
      <alignment vertical="center"/>
      <protection/>
    </xf>
    <xf numFmtId="0" fontId="9" fillId="4" borderId="0" xfId="343" applyFont="1" applyFill="1" applyProtection="1">
      <alignment/>
      <protection locked="0"/>
    </xf>
    <xf numFmtId="0" fontId="0" fillId="4" borderId="0" xfId="343" applyFont="1" applyFill="1" applyProtection="1">
      <alignment/>
      <protection locked="0"/>
    </xf>
    <xf numFmtId="0" fontId="11" fillId="4" borderId="0" xfId="343" applyFont="1" applyFill="1" applyProtection="1">
      <alignment/>
      <protection locked="0"/>
    </xf>
    <xf numFmtId="0" fontId="10" fillId="4" borderId="0" xfId="343" applyFont="1" applyFill="1" applyAlignment="1" applyProtection="1">
      <alignment vertical="center"/>
      <protection locked="0"/>
    </xf>
    <xf numFmtId="0" fontId="11" fillId="4" borderId="0" xfId="343" applyFont="1" applyFill="1" applyAlignment="1" applyProtection="1">
      <alignment vertical="center"/>
      <protection locked="0"/>
    </xf>
    <xf numFmtId="49" fontId="10" fillId="4" borderId="0" xfId="343" applyNumberFormat="1" applyFill="1" applyProtection="1">
      <alignment/>
      <protection locked="0"/>
    </xf>
    <xf numFmtId="3" fontId="10" fillId="4" borderId="0" xfId="343" applyNumberFormat="1" applyFill="1" applyProtection="1">
      <alignment/>
      <protection locked="0"/>
    </xf>
    <xf numFmtId="184" fontId="10" fillId="4" borderId="0" xfId="343" applyNumberFormat="1" applyFill="1" applyProtection="1">
      <alignment/>
      <protection locked="0"/>
    </xf>
    <xf numFmtId="0" fontId="10" fillId="4" borderId="0" xfId="343" applyFill="1" applyProtection="1">
      <alignment/>
      <protection locked="0"/>
    </xf>
    <xf numFmtId="49" fontId="3" fillId="4" borderId="0" xfId="343" applyNumberFormat="1" applyFont="1" applyFill="1" applyAlignment="1" applyProtection="1">
      <alignment horizontal="center" vertical="center"/>
      <protection locked="0"/>
    </xf>
    <xf numFmtId="49" fontId="8" fillId="4" borderId="0" xfId="343" applyNumberFormat="1" applyFont="1" applyFill="1" applyAlignment="1" applyProtection="1">
      <alignment vertical="center"/>
      <protection locked="0"/>
    </xf>
    <xf numFmtId="3" fontId="8" fillId="4" borderId="0" xfId="343" applyNumberFormat="1" applyFont="1" applyFill="1" applyAlignment="1" applyProtection="1">
      <alignment vertical="center"/>
      <protection locked="0"/>
    </xf>
    <xf numFmtId="184" fontId="4" fillId="4" borderId="0" xfId="343" applyNumberFormat="1" applyFont="1" applyFill="1" applyAlignment="1" applyProtection="1">
      <alignment horizontal="right" vertical="center"/>
      <protection locked="0"/>
    </xf>
    <xf numFmtId="49" fontId="5" fillId="4" borderId="10" xfId="343" applyNumberFormat="1" applyFont="1" applyFill="1" applyBorder="1" applyAlignment="1" applyProtection="1">
      <alignment horizontal="center" vertical="center" wrapText="1"/>
      <protection locked="0"/>
    </xf>
    <xf numFmtId="3" fontId="5" fillId="4" borderId="10" xfId="343" applyNumberFormat="1" applyFont="1" applyFill="1" applyBorder="1" applyAlignment="1" applyProtection="1">
      <alignment horizontal="center" vertical="center" wrapText="1"/>
      <protection locked="0"/>
    </xf>
    <xf numFmtId="184" fontId="5" fillId="4" borderId="10" xfId="343" applyNumberFormat="1" applyFont="1" applyFill="1" applyBorder="1" applyAlignment="1" applyProtection="1">
      <alignment horizontal="center" vertical="center" wrapText="1"/>
      <protection locked="0"/>
    </xf>
    <xf numFmtId="0" fontId="16" fillId="4" borderId="10" xfId="343" applyFont="1" applyFill="1" applyBorder="1" applyAlignment="1" applyProtection="1">
      <alignment horizontal="center" vertical="center" wrapText="1"/>
      <protection locked="0"/>
    </xf>
    <xf numFmtId="184" fontId="16" fillId="4" borderId="10" xfId="343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343" applyFont="1" applyFill="1" applyBorder="1" applyAlignment="1" applyProtection="1">
      <alignment horizontal="left" vertical="center" wrapText="1"/>
      <protection locked="0"/>
    </xf>
    <xf numFmtId="0" fontId="16" fillId="21" borderId="10" xfId="343" applyNumberFormat="1" applyFont="1" applyFill="1" applyBorder="1" applyAlignment="1" applyProtection="1">
      <alignment horizontal="center" vertical="center" wrapText="1"/>
      <protection locked="0"/>
    </xf>
    <xf numFmtId="180" fontId="16" fillId="4" borderId="10" xfId="0" applyNumberFormat="1" applyFont="1" applyFill="1" applyBorder="1" applyAlignment="1">
      <alignment horizontal="center" vertical="center"/>
    </xf>
    <xf numFmtId="183" fontId="16" fillId="4" borderId="10" xfId="343" applyNumberFormat="1" applyFont="1" applyFill="1" applyBorder="1" applyAlignment="1" applyProtection="1">
      <alignment horizontal="center" vertical="center"/>
      <protection/>
    </xf>
    <xf numFmtId="49" fontId="4" fillId="4" borderId="10" xfId="343" applyNumberFormat="1" applyFont="1" applyFill="1" applyBorder="1" applyAlignment="1" applyProtection="1">
      <alignment horizontal="left" vertical="center" indent="1"/>
      <protection locked="0"/>
    </xf>
    <xf numFmtId="0" fontId="8" fillId="21" borderId="10" xfId="343" applyNumberFormat="1" applyFont="1" applyFill="1" applyBorder="1" applyAlignment="1" applyProtection="1">
      <alignment horizontal="center" vertical="center"/>
      <protection/>
    </xf>
    <xf numFmtId="0" fontId="8" fillId="4" borderId="10" xfId="343" applyNumberFormat="1" applyFont="1" applyFill="1" applyBorder="1" applyAlignment="1" applyProtection="1">
      <alignment horizontal="center" vertical="center"/>
      <protection/>
    </xf>
    <xf numFmtId="183" fontId="8" fillId="4" borderId="10" xfId="343" applyNumberFormat="1" applyFont="1" applyFill="1" applyBorder="1" applyAlignment="1" applyProtection="1">
      <alignment horizontal="center" vertical="center"/>
      <protection/>
    </xf>
    <xf numFmtId="180" fontId="8" fillId="21" borderId="10" xfId="128" applyNumberFormat="1" applyFont="1" applyFill="1" applyBorder="1" applyAlignment="1" applyProtection="1">
      <alignment horizontal="center" vertical="center"/>
      <protection/>
    </xf>
    <xf numFmtId="49" fontId="5" fillId="4" borderId="10" xfId="343" applyNumberFormat="1" applyFont="1" applyFill="1" applyBorder="1" applyAlignment="1" applyProtection="1">
      <alignment horizontal="left" vertical="center"/>
      <protection locked="0"/>
    </xf>
    <xf numFmtId="0" fontId="16" fillId="21" borderId="10" xfId="343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5" fillId="0" borderId="11" xfId="318" applyNumberFormat="1" applyFont="1" applyFill="1" applyBorder="1" applyAlignment="1" applyProtection="1">
      <alignment horizontal="center" vertical="center" wrapText="1"/>
      <protection/>
    </xf>
    <xf numFmtId="0" fontId="6" fillId="0" borderId="10" xfId="339" applyFont="1" applyBorder="1" applyAlignment="1">
      <alignment horizontal="left" vertical="center" wrapText="1"/>
      <protection/>
    </xf>
    <xf numFmtId="185" fontId="8" fillId="0" borderId="10" xfId="340" applyNumberFormat="1" applyFont="1" applyBorder="1" applyAlignment="1">
      <alignment horizontal="center" vertical="center"/>
      <protection/>
    </xf>
    <xf numFmtId="185" fontId="16" fillId="0" borderId="10" xfId="340" applyNumberFormat="1" applyFont="1" applyBorder="1" applyAlignment="1">
      <alignment horizontal="center" vertical="center"/>
      <protection/>
    </xf>
    <xf numFmtId="0" fontId="3" fillId="0" borderId="0" xfId="86" applyFont="1" applyAlignment="1">
      <alignment horizontal="center" vertical="center" wrapText="1"/>
      <protection/>
    </xf>
    <xf numFmtId="31" fontId="0" fillId="0" borderId="0" xfId="340" applyNumberFormat="1" applyAlignment="1">
      <alignment horizontal="left" vertical="center"/>
      <protection/>
    </xf>
    <xf numFmtId="0" fontId="0" fillId="0" borderId="0" xfId="331">
      <alignment/>
      <protection/>
    </xf>
    <xf numFmtId="0" fontId="4" fillId="0" borderId="0" xfId="340" applyFont="1" applyAlignment="1">
      <alignment horizontal="center" vertical="center"/>
      <protection/>
    </xf>
    <xf numFmtId="0" fontId="5" fillId="0" borderId="10" xfId="340" applyFont="1" applyBorder="1" applyAlignment="1">
      <alignment horizontal="center" vertical="center"/>
      <protection/>
    </xf>
    <xf numFmtId="0" fontId="5" fillId="0" borderId="10" xfId="340" applyFont="1" applyBorder="1" applyAlignment="1">
      <alignment horizontal="center" vertical="center" wrapText="1"/>
      <protection/>
    </xf>
    <xf numFmtId="0" fontId="5" fillId="0" borderId="10" xfId="340" applyFont="1" applyBorder="1" applyAlignment="1">
      <alignment vertical="center"/>
      <protection/>
    </xf>
    <xf numFmtId="185" fontId="17" fillId="0" borderId="10" xfId="339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339" applyFont="1" applyAlignment="1">
      <alignment horizontal="center" vertical="center" wrapText="1"/>
      <protection/>
    </xf>
    <xf numFmtId="31" fontId="0" fillId="0" borderId="0" xfId="339" applyNumberFormat="1" applyAlignment="1">
      <alignment horizontal="left" vertical="center"/>
      <protection/>
    </xf>
    <xf numFmtId="0" fontId="0" fillId="0" borderId="0" xfId="188" applyFill="1">
      <alignment/>
      <protection/>
    </xf>
    <xf numFmtId="0" fontId="0" fillId="0" borderId="0" xfId="188">
      <alignment/>
      <protection/>
    </xf>
    <xf numFmtId="0" fontId="4" fillId="0" borderId="0" xfId="339" applyFont="1" applyAlignment="1">
      <alignment horizontal="center" vertical="center"/>
      <protection/>
    </xf>
    <xf numFmtId="0" fontId="7" fillId="0" borderId="10" xfId="339" applyFont="1" applyBorder="1" applyAlignment="1">
      <alignment horizontal="center" vertical="center" wrapText="1"/>
      <protection/>
    </xf>
    <xf numFmtId="0" fontId="7" fillId="0" borderId="10" xfId="339" applyFont="1" applyFill="1" applyBorder="1" applyAlignment="1">
      <alignment horizontal="center" vertical="center" wrapText="1"/>
      <protection/>
    </xf>
    <xf numFmtId="1" fontId="7" fillId="0" borderId="10" xfId="344" applyNumberFormat="1" applyFont="1" applyBorder="1" applyAlignment="1">
      <alignment horizontal="center" vertical="center" wrapText="1"/>
      <protection/>
    </xf>
    <xf numFmtId="0" fontId="7" fillId="0" borderId="10" xfId="339" applyFont="1" applyBorder="1" applyAlignment="1">
      <alignment vertical="center" wrapText="1"/>
      <protection/>
    </xf>
    <xf numFmtId="185" fontId="16" fillId="0" borderId="10" xfId="86" applyNumberFormat="1" applyFont="1" applyFill="1" applyBorder="1" applyAlignment="1">
      <alignment horizontal="center" vertical="center"/>
      <protection/>
    </xf>
    <xf numFmtId="185" fontId="18" fillId="0" borderId="10" xfId="339" applyNumberFormat="1" applyFont="1" applyBorder="1" applyAlignment="1">
      <alignment horizontal="center" vertical="center" wrapText="1"/>
      <protection/>
    </xf>
    <xf numFmtId="183" fontId="18" fillId="0" borderId="10" xfId="339" applyNumberFormat="1" applyFont="1" applyBorder="1" applyAlignment="1">
      <alignment horizontal="center" vertical="center" wrapText="1"/>
      <protection/>
    </xf>
    <xf numFmtId="185" fontId="8" fillId="0" borderId="10" xfId="86" applyNumberFormat="1" applyFont="1" applyFill="1" applyBorder="1" applyAlignment="1">
      <alignment horizontal="center" vertical="center"/>
      <protection/>
    </xf>
    <xf numFmtId="183" fontId="17" fillId="0" borderId="10" xfId="339" applyNumberFormat="1" applyFont="1" applyBorder="1" applyAlignment="1">
      <alignment horizontal="center" vertical="center" wrapText="1"/>
      <protection/>
    </xf>
    <xf numFmtId="185" fontId="18" fillId="0" borderId="10" xfId="339" applyNumberFormat="1" applyFont="1" applyFill="1" applyBorder="1" applyAlignment="1">
      <alignment horizontal="center" vertical="center" wrapText="1"/>
      <protection/>
    </xf>
    <xf numFmtId="1" fontId="19" fillId="0" borderId="0" xfId="344" applyNumberFormat="1" applyFont="1" applyAlignment="1">
      <alignment vertical="center"/>
      <protection/>
    </xf>
    <xf numFmtId="0" fontId="20" fillId="0" borderId="10" xfId="318" applyNumberFormat="1" applyFont="1" applyFill="1" applyBorder="1" applyAlignment="1" applyProtection="1">
      <alignment horizontal="center" vertical="center"/>
      <protection/>
    </xf>
    <xf numFmtId="0" fontId="20" fillId="0" borderId="11" xfId="318" applyNumberFormat="1" applyFont="1" applyFill="1" applyBorder="1" applyAlignment="1" applyProtection="1">
      <alignment horizontal="center" vertical="center"/>
      <protection/>
    </xf>
    <xf numFmtId="185" fontId="8" fillId="0" borderId="10" xfId="86" applyNumberFormat="1" applyFont="1" applyBorder="1" applyAlignment="1">
      <alignment horizontal="center" vertical="center"/>
      <protection/>
    </xf>
    <xf numFmtId="0" fontId="6" fillId="0" borderId="13" xfId="318" applyNumberFormat="1" applyFont="1" applyFill="1" applyBorder="1" applyAlignment="1" applyProtection="1">
      <alignment horizontal="left" vertical="center"/>
      <protection/>
    </xf>
    <xf numFmtId="185" fontId="16" fillId="0" borderId="10" xfId="86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" fontId="21" fillId="0" borderId="0" xfId="344" applyNumberFormat="1" applyFont="1" applyAlignment="1">
      <alignment vertical="center"/>
      <protection/>
    </xf>
    <xf numFmtId="1" fontId="13" fillId="0" borderId="0" xfId="344" applyNumberFormat="1" applyFont="1" applyAlignment="1">
      <alignment horizontal="left" vertical="center"/>
      <protection/>
    </xf>
    <xf numFmtId="1" fontId="4" fillId="0" borderId="15" xfId="344" applyNumberFormat="1" applyFont="1" applyBorder="1" applyAlignment="1">
      <alignment horizontal="right" vertical="center"/>
      <protection/>
    </xf>
    <xf numFmtId="1" fontId="0" fillId="0" borderId="15" xfId="344" applyNumberFormat="1" applyFont="1" applyBorder="1" applyAlignment="1">
      <alignment/>
      <protection/>
    </xf>
    <xf numFmtId="1" fontId="20" fillId="0" borderId="11" xfId="344" applyNumberFormat="1" applyFont="1" applyFill="1" applyBorder="1" applyAlignment="1">
      <alignment horizontal="center" vertical="center" wrapText="1"/>
      <protection/>
    </xf>
    <xf numFmtId="181" fontId="5" fillId="0" borderId="10" xfId="343" applyNumberFormat="1" applyFont="1" applyFill="1" applyBorder="1" applyAlignment="1" applyProtection="1">
      <alignment horizontal="center" vertical="center" wrapText="1"/>
      <protection locked="0"/>
    </xf>
    <xf numFmtId="181" fontId="16" fillId="0" borderId="10" xfId="343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344" applyNumberFormat="1" applyFont="1" applyFill="1" applyBorder="1" applyAlignment="1">
      <alignment horizontal="center" vertical="center" wrapText="1"/>
      <protection/>
    </xf>
    <xf numFmtId="1" fontId="20" fillId="0" borderId="14" xfId="344" applyNumberFormat="1" applyFont="1" applyFill="1" applyBorder="1" applyAlignment="1">
      <alignment horizontal="center" vertical="center" wrapText="1"/>
      <protection/>
    </xf>
    <xf numFmtId="181" fontId="5" fillId="0" borderId="10" xfId="343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0" xfId="0" applyFont="1" applyFill="1" applyBorder="1" applyAlignment="1">
      <alignment vertical="center"/>
    </xf>
    <xf numFmtId="183" fontId="16" fillId="0" borderId="10" xfId="86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right" vertical="center"/>
    </xf>
    <xf numFmtId="183" fontId="8" fillId="0" borderId="10" xfId="86" applyNumberFormat="1" applyFont="1" applyBorder="1" applyAlignment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4" fillId="4" borderId="15" xfId="0" applyNumberFormat="1" applyFont="1" applyFill="1" applyBorder="1" applyAlignment="1" applyProtection="1">
      <alignment horizontal="right" vertical="center"/>
      <protection/>
    </xf>
    <xf numFmtId="182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183" fontId="1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NumberFormat="1" applyFont="1" applyFill="1" applyBorder="1" applyAlignment="1" applyProtection="1">
      <alignment horizontal="center" vertical="center"/>
      <protection/>
    </xf>
    <xf numFmtId="0" fontId="17" fillId="4" borderId="15" xfId="0" applyNumberFormat="1" applyFont="1" applyFill="1" applyBorder="1" applyAlignment="1" applyProtection="1">
      <alignment vertical="center"/>
      <protection/>
    </xf>
    <xf numFmtId="0" fontId="4" fillId="4" borderId="15" xfId="0" applyNumberFormat="1" applyFont="1" applyFill="1" applyBorder="1" applyAlignment="1" applyProtection="1">
      <alignment horizontal="right" vertical="center"/>
      <protection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0" fontId="5" fillId="4" borderId="10" xfId="0" applyNumberFormat="1" applyFont="1" applyFill="1" applyBorder="1" applyAlignment="1" applyProtection="1">
      <alignment horizontal="left" vertical="center"/>
      <protection/>
    </xf>
    <xf numFmtId="185" fontId="16" fillId="4" borderId="10" xfId="0" applyNumberFormat="1" applyFont="1" applyFill="1" applyBorder="1" applyAlignment="1" applyProtection="1">
      <alignment horizontal="center" vertical="center"/>
      <protection/>
    </xf>
    <xf numFmtId="3" fontId="5" fillId="4" borderId="10" xfId="0" applyNumberFormat="1" applyFont="1" applyFill="1" applyBorder="1" applyAlignment="1" applyProtection="1">
      <alignment horizontal="left" vertical="center"/>
      <protection/>
    </xf>
    <xf numFmtId="0" fontId="5" fillId="21" borderId="10" xfId="0" applyNumberFormat="1" applyFont="1" applyFill="1" applyBorder="1" applyAlignment="1" applyProtection="1">
      <alignment vertical="center"/>
      <protection/>
    </xf>
    <xf numFmtId="185" fontId="16" fillId="21" borderId="10" xfId="0" applyNumberFormat="1" applyFont="1" applyFill="1" applyBorder="1" applyAlignment="1" applyProtection="1">
      <alignment horizontal="center" vertical="center"/>
      <protection/>
    </xf>
    <xf numFmtId="3" fontId="5" fillId="21" borderId="10" xfId="0" applyNumberFormat="1" applyFont="1" applyFill="1" applyBorder="1" applyAlignment="1" applyProtection="1">
      <alignment horizontal="left" vertical="center"/>
      <protection/>
    </xf>
    <xf numFmtId="49" fontId="4" fillId="21" borderId="10" xfId="343" applyNumberFormat="1" applyFont="1" applyFill="1" applyBorder="1" applyAlignment="1" applyProtection="1">
      <alignment horizontal="left" vertical="center" indent="1"/>
      <protection locked="0"/>
    </xf>
    <xf numFmtId="185" fontId="8" fillId="21" borderId="10" xfId="0" applyNumberFormat="1" applyFont="1" applyFill="1" applyBorder="1" applyAlignment="1" applyProtection="1">
      <alignment horizontal="center" vertical="center"/>
      <protection/>
    </xf>
    <xf numFmtId="49" fontId="5" fillId="21" borderId="10" xfId="343" applyNumberFormat="1" applyFont="1" applyFill="1" applyBorder="1" applyAlignment="1" applyProtection="1">
      <alignment horizontal="left" vertical="center" indent="1"/>
      <protection locked="0"/>
    </xf>
    <xf numFmtId="185" fontId="0" fillId="21" borderId="10" xfId="0" applyNumberForma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8" fillId="21" borderId="10" xfId="0" applyFont="1" applyFill="1" applyBorder="1" applyAlignment="1">
      <alignment vertical="center"/>
    </xf>
    <xf numFmtId="185" fontId="8" fillId="21" borderId="10" xfId="0" applyNumberFormat="1" applyFont="1" applyFill="1" applyBorder="1" applyAlignment="1">
      <alignment horizontal="center" vertical="center"/>
    </xf>
    <xf numFmtId="3" fontId="4" fillId="21" borderId="10" xfId="0" applyNumberFormat="1" applyFont="1" applyFill="1" applyBorder="1" applyAlignment="1" applyProtection="1">
      <alignment horizontal="left" vertical="center" indent="1"/>
      <protection/>
    </xf>
    <xf numFmtId="0" fontId="5" fillId="4" borderId="10" xfId="0" applyNumberFormat="1" applyFont="1" applyFill="1" applyBorder="1" applyAlignment="1" applyProtection="1">
      <alignment vertical="center"/>
      <protection/>
    </xf>
    <xf numFmtId="185" fontId="8" fillId="4" borderId="10" xfId="0" applyNumberFormat="1" applyFont="1" applyFill="1" applyBorder="1" applyAlignment="1" applyProtection="1">
      <alignment horizontal="center" vertical="center"/>
      <protection/>
    </xf>
    <xf numFmtId="3" fontId="0" fillId="4" borderId="0" xfId="0" applyNumberFormat="1" applyFill="1" applyAlignment="1">
      <alignment vertical="center"/>
    </xf>
    <xf numFmtId="0" fontId="5" fillId="4" borderId="10" xfId="0" applyNumberFormat="1" applyFont="1" applyFill="1" applyBorder="1" applyAlignment="1" applyProtection="1">
      <alignment horizontal="center" vertical="center"/>
      <protection/>
    </xf>
    <xf numFmtId="0" fontId="10" fillId="21" borderId="0" xfId="343" applyFont="1" applyFill="1" applyProtection="1">
      <alignment/>
      <protection locked="0"/>
    </xf>
    <xf numFmtId="0" fontId="9" fillId="21" borderId="0" xfId="343" applyFont="1" applyFill="1" applyProtection="1">
      <alignment/>
      <protection locked="0"/>
    </xf>
    <xf numFmtId="0" fontId="0" fillId="21" borderId="0" xfId="343" applyFont="1" applyFill="1" applyProtection="1">
      <alignment/>
      <protection locked="0"/>
    </xf>
    <xf numFmtId="0" fontId="11" fillId="21" borderId="0" xfId="343" applyFont="1" applyFill="1" applyProtection="1">
      <alignment/>
      <protection locked="0"/>
    </xf>
    <xf numFmtId="0" fontId="10" fillId="21" borderId="0" xfId="343" applyFont="1" applyFill="1" applyAlignment="1" applyProtection="1">
      <alignment vertical="center"/>
      <protection locked="0"/>
    </xf>
    <xf numFmtId="0" fontId="11" fillId="21" borderId="0" xfId="343" applyFont="1" applyFill="1" applyAlignment="1" applyProtection="1">
      <alignment vertical="center"/>
      <protection locked="0"/>
    </xf>
    <xf numFmtId="49" fontId="10" fillId="21" borderId="0" xfId="343" applyNumberFormat="1" applyFont="1" applyFill="1" applyProtection="1">
      <alignment/>
      <protection locked="0"/>
    </xf>
    <xf numFmtId="3" fontId="10" fillId="21" borderId="0" xfId="343" applyNumberFormat="1" applyFont="1" applyFill="1" applyProtection="1">
      <alignment/>
      <protection locked="0"/>
    </xf>
    <xf numFmtId="181" fontId="10" fillId="21" borderId="0" xfId="343" applyNumberFormat="1" applyFont="1" applyFill="1" applyProtection="1">
      <alignment/>
      <protection locked="0"/>
    </xf>
    <xf numFmtId="0" fontId="10" fillId="21" borderId="0" xfId="343" applyFill="1" applyProtection="1">
      <alignment/>
      <protection locked="0"/>
    </xf>
    <xf numFmtId="49" fontId="2" fillId="21" borderId="0" xfId="343" applyNumberFormat="1" applyFont="1" applyFill="1" applyAlignment="1" applyProtection="1">
      <alignment vertical="center"/>
      <protection locked="0"/>
    </xf>
    <xf numFmtId="49" fontId="3" fillId="21" borderId="0" xfId="343" applyNumberFormat="1" applyFont="1" applyFill="1" applyAlignment="1" applyProtection="1">
      <alignment horizontal="center" vertical="center"/>
      <protection locked="0"/>
    </xf>
    <xf numFmtId="49" fontId="8" fillId="21" borderId="0" xfId="343" applyNumberFormat="1" applyFont="1" applyFill="1" applyProtection="1">
      <alignment/>
      <protection locked="0"/>
    </xf>
    <xf numFmtId="3" fontId="8" fillId="21" borderId="0" xfId="343" applyNumberFormat="1" applyFont="1" applyFill="1" applyProtection="1">
      <alignment/>
      <protection locked="0"/>
    </xf>
    <xf numFmtId="181" fontId="8" fillId="21" borderId="0" xfId="343" applyNumberFormat="1" applyFont="1" applyFill="1" applyProtection="1">
      <alignment/>
      <protection locked="0"/>
    </xf>
    <xf numFmtId="181" fontId="4" fillId="21" borderId="15" xfId="343" applyNumberFormat="1" applyFont="1" applyFill="1" applyBorder="1" applyAlignment="1" applyProtection="1">
      <alignment horizontal="right"/>
      <protection locked="0"/>
    </xf>
    <xf numFmtId="49" fontId="5" fillId="21" borderId="11" xfId="343" applyNumberFormat="1" applyFont="1" applyFill="1" applyBorder="1" applyAlignment="1" applyProtection="1">
      <alignment horizontal="center" vertical="center" wrapText="1"/>
      <protection locked="0"/>
    </xf>
    <xf numFmtId="1" fontId="5" fillId="21" borderId="11" xfId="343" applyNumberFormat="1" applyFont="1" applyFill="1" applyBorder="1" applyAlignment="1" applyProtection="1">
      <alignment horizontal="center" vertical="center" wrapText="1"/>
      <protection locked="0"/>
    </xf>
    <xf numFmtId="3" fontId="5" fillId="21" borderId="11" xfId="343" applyNumberFormat="1" applyFont="1" applyFill="1" applyBorder="1" applyAlignment="1" applyProtection="1">
      <alignment horizontal="center" vertical="center" wrapText="1"/>
      <protection locked="0"/>
    </xf>
    <xf numFmtId="181" fontId="5" fillId="21" borderId="11" xfId="343" applyNumberFormat="1" applyFont="1" applyFill="1" applyBorder="1" applyAlignment="1" applyProtection="1">
      <alignment horizontal="center" vertical="center" wrapText="1"/>
      <protection locked="0"/>
    </xf>
    <xf numFmtId="181" fontId="5" fillId="21" borderId="13" xfId="343" applyNumberFormat="1" applyFont="1" applyFill="1" applyBorder="1" applyAlignment="1" applyProtection="1">
      <alignment horizontal="center" vertical="center" wrapText="1"/>
      <protection locked="0"/>
    </xf>
    <xf numFmtId="181" fontId="5" fillId="21" borderId="21" xfId="343" applyNumberFormat="1" applyFont="1" applyFill="1" applyBorder="1" applyAlignment="1" applyProtection="1">
      <alignment horizontal="center" vertical="center" wrapText="1"/>
      <protection locked="0"/>
    </xf>
    <xf numFmtId="49" fontId="16" fillId="21" borderId="14" xfId="343" applyNumberFormat="1" applyFont="1" applyFill="1" applyBorder="1" applyAlignment="1" applyProtection="1">
      <alignment horizontal="center" vertical="center" wrapText="1"/>
      <protection locked="0"/>
    </xf>
    <xf numFmtId="1" fontId="16" fillId="21" borderId="14" xfId="343" applyNumberFormat="1" applyFont="1" applyFill="1" applyBorder="1" applyAlignment="1" applyProtection="1">
      <alignment horizontal="center" vertical="center" wrapText="1"/>
      <protection locked="0"/>
    </xf>
    <xf numFmtId="3" fontId="16" fillId="21" borderId="14" xfId="343" applyNumberFormat="1" applyFont="1" applyFill="1" applyBorder="1" applyAlignment="1" applyProtection="1">
      <alignment horizontal="center" vertical="center" wrapText="1"/>
      <protection locked="0"/>
    </xf>
    <xf numFmtId="181" fontId="16" fillId="21" borderId="14" xfId="343" applyNumberFormat="1" applyFont="1" applyFill="1" applyBorder="1" applyAlignment="1" applyProtection="1">
      <alignment horizontal="center" vertical="center" wrapText="1"/>
      <protection locked="0"/>
    </xf>
    <xf numFmtId="0" fontId="5" fillId="21" borderId="10" xfId="343" applyFont="1" applyFill="1" applyBorder="1" applyAlignment="1" applyProtection="1">
      <alignment horizontal="centerContinuous" vertical="center" wrapText="1"/>
      <protection locked="0"/>
    </xf>
    <xf numFmtId="181" fontId="5" fillId="21" borderId="10" xfId="343" applyNumberFormat="1" applyFont="1" applyFill="1" applyBorder="1" applyAlignment="1" applyProtection="1">
      <alignment horizontal="centerContinuous" vertical="center" wrapText="1"/>
      <protection locked="0"/>
    </xf>
    <xf numFmtId="49" fontId="4" fillId="21" borderId="10" xfId="343" applyNumberFormat="1" applyFont="1" applyFill="1" applyBorder="1" applyAlignment="1" applyProtection="1">
      <alignment vertical="center"/>
      <protection locked="0"/>
    </xf>
    <xf numFmtId="185" fontId="8" fillId="21" borderId="10" xfId="343" applyNumberFormat="1" applyFont="1" applyFill="1" applyBorder="1" applyAlignment="1">
      <alignment horizontal="center" vertical="center"/>
      <protection/>
    </xf>
    <xf numFmtId="183" fontId="8" fillId="21" borderId="10" xfId="343" applyNumberFormat="1" applyFont="1" applyFill="1" applyBorder="1" applyAlignment="1" applyProtection="1">
      <alignment horizontal="center" vertical="center"/>
      <protection/>
    </xf>
    <xf numFmtId="185" fontId="8" fillId="21" borderId="10" xfId="343" applyNumberFormat="1" applyFont="1" applyFill="1" applyBorder="1" applyAlignment="1" applyProtection="1">
      <alignment horizontal="center" vertical="center"/>
      <protection locked="0"/>
    </xf>
    <xf numFmtId="1" fontId="8" fillId="21" borderId="10" xfId="343" applyNumberFormat="1" applyFont="1" applyFill="1" applyBorder="1" applyAlignment="1" applyProtection="1">
      <alignment horizontal="center" vertical="center"/>
      <protection/>
    </xf>
    <xf numFmtId="186" fontId="8" fillId="21" borderId="10" xfId="343" applyNumberFormat="1" applyFont="1" applyFill="1" applyBorder="1" applyAlignment="1" applyProtection="1">
      <alignment horizontal="center" vertical="center"/>
      <protection/>
    </xf>
    <xf numFmtId="3" fontId="8" fillId="21" borderId="10" xfId="343" applyNumberFormat="1" applyFont="1" applyFill="1" applyBorder="1" applyAlignment="1" applyProtection="1">
      <alignment horizontal="center" vertical="center"/>
      <protection locked="0"/>
    </xf>
    <xf numFmtId="49" fontId="5" fillId="21" borderId="10" xfId="343" applyNumberFormat="1" applyFont="1" applyFill="1" applyBorder="1" applyAlignment="1" applyProtection="1">
      <alignment vertical="center"/>
      <protection locked="0"/>
    </xf>
    <xf numFmtId="1" fontId="16" fillId="21" borderId="10" xfId="343" applyNumberFormat="1" applyFont="1" applyFill="1" applyBorder="1" applyAlignment="1" applyProtection="1">
      <alignment horizontal="center" vertical="center"/>
      <protection/>
    </xf>
    <xf numFmtId="183" fontId="16" fillId="21" borderId="10" xfId="343" applyNumberFormat="1" applyFont="1" applyFill="1" applyBorder="1" applyAlignment="1" applyProtection="1">
      <alignment horizontal="center" vertical="center"/>
      <protection/>
    </xf>
    <xf numFmtId="3" fontId="16" fillId="21" borderId="10" xfId="343" applyNumberFormat="1" applyFont="1" applyFill="1" applyBorder="1" applyAlignment="1" applyProtection="1">
      <alignment horizontal="center" vertical="center"/>
      <protection locked="0"/>
    </xf>
    <xf numFmtId="186" fontId="16" fillId="21" borderId="10" xfId="343" applyNumberFormat="1" applyFont="1" applyFill="1" applyBorder="1" applyAlignment="1" applyProtection="1">
      <alignment horizontal="center" vertical="center"/>
      <protection/>
    </xf>
    <xf numFmtId="49" fontId="10" fillId="21" borderId="0" xfId="343" applyNumberFormat="1" applyFill="1" applyProtection="1">
      <alignment/>
      <protection locked="0"/>
    </xf>
    <xf numFmtId="3" fontId="10" fillId="21" borderId="0" xfId="343" applyNumberFormat="1" applyFill="1" applyProtection="1">
      <alignment/>
      <protection locked="0"/>
    </xf>
    <xf numFmtId="184" fontId="10" fillId="21" borderId="0" xfId="343" applyNumberFormat="1" applyFill="1" applyProtection="1">
      <alignment/>
      <protection locked="0"/>
    </xf>
    <xf numFmtId="181" fontId="10" fillId="21" borderId="0" xfId="343" applyNumberFormat="1" applyFill="1" applyProtection="1">
      <alignment/>
      <protection locked="0"/>
    </xf>
    <xf numFmtId="49" fontId="8" fillId="21" borderId="0" xfId="343" applyNumberFormat="1" applyFont="1" applyFill="1" applyAlignment="1" applyProtection="1">
      <alignment vertical="center"/>
      <protection locked="0"/>
    </xf>
    <xf numFmtId="3" fontId="8" fillId="21" borderId="0" xfId="343" applyNumberFormat="1" applyFont="1" applyFill="1" applyAlignment="1" applyProtection="1">
      <alignment vertical="center"/>
      <protection locked="0"/>
    </xf>
    <xf numFmtId="184" fontId="8" fillId="21" borderId="0" xfId="343" applyNumberFormat="1" applyFont="1" applyFill="1" applyAlignment="1" applyProtection="1">
      <alignment vertical="center"/>
      <protection locked="0"/>
    </xf>
    <xf numFmtId="181" fontId="8" fillId="21" borderId="0" xfId="343" applyNumberFormat="1" applyFont="1" applyFill="1" applyAlignment="1" applyProtection="1">
      <alignment vertical="center"/>
      <protection locked="0"/>
    </xf>
    <xf numFmtId="181" fontId="4" fillId="21" borderId="15" xfId="343" applyNumberFormat="1" applyFont="1" applyFill="1" applyBorder="1" applyAlignment="1" applyProtection="1">
      <alignment horizontal="right" vertical="center"/>
      <protection locked="0"/>
    </xf>
    <xf numFmtId="181" fontId="8" fillId="21" borderId="15" xfId="343" applyNumberFormat="1" applyFont="1" applyFill="1" applyBorder="1" applyAlignment="1" applyProtection="1">
      <alignment horizontal="right" vertical="center"/>
      <protection locked="0"/>
    </xf>
    <xf numFmtId="49" fontId="5" fillId="21" borderId="10" xfId="343" applyNumberFormat="1" applyFont="1" applyFill="1" applyBorder="1" applyAlignment="1" applyProtection="1">
      <alignment horizontal="center" vertical="center" wrapText="1"/>
      <protection locked="0"/>
    </xf>
    <xf numFmtId="3" fontId="5" fillId="21" borderId="10" xfId="343" applyNumberFormat="1" applyFont="1" applyFill="1" applyBorder="1" applyAlignment="1" applyProtection="1">
      <alignment horizontal="center" vertical="center" wrapText="1"/>
      <protection locked="0"/>
    </xf>
    <xf numFmtId="184" fontId="5" fillId="21" borderId="10" xfId="343" applyNumberFormat="1" applyFont="1" applyFill="1" applyBorder="1" applyAlignment="1" applyProtection="1">
      <alignment horizontal="center" vertical="center" wrapText="1"/>
      <protection locked="0"/>
    </xf>
    <xf numFmtId="181" fontId="5" fillId="21" borderId="12" xfId="343" applyNumberFormat="1" applyFont="1" applyFill="1" applyBorder="1" applyAlignment="1" applyProtection="1">
      <alignment horizontal="center" vertical="center" wrapText="1"/>
      <protection locked="0"/>
    </xf>
    <xf numFmtId="181" fontId="5" fillId="21" borderId="13" xfId="343" applyNumberFormat="1" applyFont="1" applyFill="1" applyBorder="1" applyAlignment="1" applyProtection="1">
      <alignment horizontal="center" vertical="center" wrapText="1"/>
      <protection locked="0"/>
    </xf>
    <xf numFmtId="181" fontId="5" fillId="21" borderId="21" xfId="343" applyNumberFormat="1" applyFont="1" applyFill="1" applyBorder="1" applyAlignment="1" applyProtection="1">
      <alignment horizontal="center" vertical="center" wrapText="1"/>
      <protection locked="0"/>
    </xf>
    <xf numFmtId="0" fontId="16" fillId="21" borderId="10" xfId="343" applyFont="1" applyFill="1" applyBorder="1" applyAlignment="1" applyProtection="1">
      <alignment horizontal="center" vertical="center" wrapText="1"/>
      <protection locked="0"/>
    </xf>
    <xf numFmtId="184" fontId="16" fillId="21" borderId="10" xfId="343" applyNumberFormat="1" applyFont="1" applyFill="1" applyBorder="1" applyAlignment="1" applyProtection="1">
      <alignment horizontal="center" vertical="center" wrapText="1"/>
      <protection locked="0"/>
    </xf>
    <xf numFmtId="0" fontId="5" fillId="21" borderId="10" xfId="343" applyFont="1" applyFill="1" applyBorder="1" applyAlignment="1" applyProtection="1">
      <alignment horizontal="center" vertical="center" wrapText="1"/>
      <protection locked="0"/>
    </xf>
    <xf numFmtId="181" fontId="5" fillId="21" borderId="10" xfId="343" applyNumberFormat="1" applyFont="1" applyFill="1" applyBorder="1" applyAlignment="1" applyProtection="1">
      <alignment horizontal="center" vertical="center" wrapText="1"/>
      <protection locked="0"/>
    </xf>
    <xf numFmtId="0" fontId="5" fillId="21" borderId="10" xfId="343" applyFont="1" applyFill="1" applyBorder="1" applyAlignment="1" applyProtection="1">
      <alignment horizontal="left" vertical="center" wrapText="1"/>
      <protection locked="0"/>
    </xf>
    <xf numFmtId="0" fontId="16" fillId="21" borderId="14" xfId="343" applyNumberFormat="1" applyFont="1" applyFill="1" applyBorder="1" applyAlignment="1" applyProtection="1">
      <alignment horizontal="center" vertical="center" wrapText="1"/>
      <protection locked="0"/>
    </xf>
    <xf numFmtId="180" fontId="8" fillId="21" borderId="10" xfId="338" applyNumberFormat="1" applyFont="1" applyFill="1" applyBorder="1" applyAlignment="1">
      <alignment horizontal="center" vertical="center"/>
      <protection/>
    </xf>
    <xf numFmtId="180" fontId="8" fillId="21" borderId="10" xfId="344" applyNumberFormat="1" applyFont="1" applyFill="1" applyBorder="1" applyAlignment="1">
      <alignment horizontal="center" vertical="center"/>
      <protection/>
    </xf>
    <xf numFmtId="49" fontId="5" fillId="21" borderId="10" xfId="343" applyNumberFormat="1" applyFont="1" applyFill="1" applyBorder="1" applyAlignment="1" applyProtection="1">
      <alignment horizontal="left" vertical="center"/>
      <protection locked="0"/>
    </xf>
    <xf numFmtId="0" fontId="16" fillId="21" borderId="10" xfId="0" applyFont="1" applyFill="1" applyBorder="1" applyAlignment="1">
      <alignment horizontal="center" vertical="center"/>
    </xf>
    <xf numFmtId="0" fontId="16" fillId="21" borderId="10" xfId="343" applyNumberFormat="1" applyFont="1" applyFill="1" applyBorder="1" applyAlignment="1" applyProtection="1">
      <alignment horizontal="center" vertical="center"/>
      <protection/>
    </xf>
    <xf numFmtId="187" fontId="10" fillId="21" borderId="0" xfId="343" applyNumberFormat="1" applyFill="1" applyProtection="1">
      <alignment/>
      <protection locked="0"/>
    </xf>
  </cellXfs>
  <cellStyles count="34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3 2 2 3 2" xfId="63"/>
    <cellStyle name="Input [yellow]" xfId="64"/>
    <cellStyle name="常规 4 3 2 2 3 2" xfId="65"/>
    <cellStyle name="常规 2 2 4" xfId="66"/>
    <cellStyle name="常规 7 3" xfId="67"/>
    <cellStyle name="RowLevel_0" xfId="68"/>
    <cellStyle name="差_Book1 2" xfId="69"/>
    <cellStyle name="常规 6" xfId="70"/>
    <cellStyle name="百分比 2" xfId="71"/>
    <cellStyle name="常规 4 4 3" xfId="72"/>
    <cellStyle name="常规 4 2 2 3" xfId="73"/>
    <cellStyle name="常规 5 2" xfId="74"/>
    <cellStyle name="_ET_STYLE_NoName_00_" xfId="75"/>
    <cellStyle name="百分比 2 2" xfId="76"/>
    <cellStyle name="常规 5 2 2" xfId="77"/>
    <cellStyle name="常规 5 2 3" xfId="78"/>
    <cellStyle name="常规 2 2 2 2 2 3" xfId="79"/>
    <cellStyle name="常规 8 3" xfId="80"/>
    <cellStyle name="差_2016年决算(大口径)" xfId="81"/>
    <cellStyle name="常规 2 2 2 5" xfId="82"/>
    <cellStyle name="常规 8 2" xfId="83"/>
    <cellStyle name="常规 2 2 2 4" xfId="84"/>
    <cellStyle name="常规_2006年编报预算通知附表" xfId="85"/>
    <cellStyle name="常规_2014、2015社保基金预决算数据（人代会用）20150119" xfId="86"/>
    <cellStyle name="常规 2 2 2 2 2 3 2" xfId="87"/>
    <cellStyle name="常规 2 2 2 6" xfId="88"/>
    <cellStyle name="常规 2 2 2 7" xfId="89"/>
    <cellStyle name="常规 2 2 2 8" xfId="90"/>
    <cellStyle name="常规_1999总决算_临泽县2017年部门综合支出预算（单位版）" xfId="91"/>
    <cellStyle name="常规 2 2 2 9" xfId="92"/>
    <cellStyle name="常规 2 2 3 2 2 2 2" xfId="93"/>
    <cellStyle name="常规 2 2 2 2 3 2 2" xfId="94"/>
    <cellStyle name="百分比 2 3" xfId="95"/>
    <cellStyle name="百分比 2 2 2" xfId="96"/>
    <cellStyle name="常规 10_2016年决算(大口径)" xfId="97"/>
    <cellStyle name="Percent [2]" xfId="98"/>
    <cellStyle name="常规 5 2 2 2 2 2" xfId="99"/>
    <cellStyle name="Normal_0105第二套审计报表定稿" xfId="100"/>
    <cellStyle name="ColLevel_0" xfId="101"/>
    <cellStyle name="烹拳 [0]_97MBO" xfId="102"/>
    <cellStyle name="百分比 2 3 2" xfId="103"/>
    <cellStyle name="Grey" xfId="104"/>
    <cellStyle name="常规 5 2 2 2" xfId="105"/>
    <cellStyle name="Normal - Style1" xfId="106"/>
    <cellStyle name="差_Book1" xfId="107"/>
    <cellStyle name="差_Book1 2 2" xfId="108"/>
    <cellStyle name="差_月报2018年" xfId="109"/>
    <cellStyle name="差_月报2018年 2" xfId="110"/>
    <cellStyle name="표준_0N-HANDLING " xfId="111"/>
    <cellStyle name="常规 10" xfId="112"/>
    <cellStyle name="常规 16 2" xfId="113"/>
    <cellStyle name="常规 10 2" xfId="114"/>
    <cellStyle name="常规 16 2 2" xfId="115"/>
    <cellStyle name="常规 11" xfId="116"/>
    <cellStyle name="常规 16 3" xfId="117"/>
    <cellStyle name="常规 5 2 2 3 2" xfId="118"/>
    <cellStyle name="常规 12" xfId="119"/>
    <cellStyle name="常规 12 2" xfId="120"/>
    <cellStyle name="常规 13" xfId="121"/>
    <cellStyle name="常规 13 2" xfId="122"/>
    <cellStyle name="常规 14" xfId="123"/>
    <cellStyle name="常规 14 2" xfId="124"/>
    <cellStyle name="常规 15" xfId="125"/>
    <cellStyle name="常规 20" xfId="126"/>
    <cellStyle name="常规 16" xfId="127"/>
    <cellStyle name="常规 21" xfId="128"/>
    <cellStyle name="常规 16 3 2" xfId="129"/>
    <cellStyle name="常规 17" xfId="130"/>
    <cellStyle name="常规 22" xfId="131"/>
    <cellStyle name="常规 4 2 2 2 2" xfId="132"/>
    <cellStyle name="常规 4 4 2 2" xfId="133"/>
    <cellStyle name="好_Book1 2 2" xfId="134"/>
    <cellStyle name="常规 18" xfId="135"/>
    <cellStyle name="常规 2 3 2 2 2 2" xfId="136"/>
    <cellStyle name="常规 23" xfId="137"/>
    <cellStyle name="常规 4 2 2 2 3" xfId="138"/>
    <cellStyle name="常规 19" xfId="139"/>
    <cellStyle name="常规 24" xfId="140"/>
    <cellStyle name="常规 2" xfId="141"/>
    <cellStyle name="常规 2 2" xfId="142"/>
    <cellStyle name="常规 2 2 10" xfId="143"/>
    <cellStyle name="常规 2 2 2" xfId="144"/>
    <cellStyle name="常规 2 2 2 10" xfId="145"/>
    <cellStyle name="常规 2 2 2 2" xfId="146"/>
    <cellStyle name="常规 2 2 2 2 2" xfId="147"/>
    <cellStyle name="常规 2 2 2 2 2 2" xfId="148"/>
    <cellStyle name="常规 2 2 2 2 2 2 2" xfId="149"/>
    <cellStyle name="常规 2 2 2 3_2016年决算(大口径)" xfId="150"/>
    <cellStyle name="常规 2 2 2 2 2 2 2 2" xfId="151"/>
    <cellStyle name="常规 2 2 2 2 2 2 2 2 2" xfId="152"/>
    <cellStyle name="常规 2 2 2 2 2 2 3" xfId="153"/>
    <cellStyle name="常规 2 2 2 2 2 2 3 2" xfId="154"/>
    <cellStyle name="常规 2 2 5" xfId="155"/>
    <cellStyle name="常规 2 2 2 2 2_2016年决算(大口径)" xfId="156"/>
    <cellStyle name="常规 2 2 2 2 3" xfId="157"/>
    <cellStyle name="常规 7 2 2" xfId="158"/>
    <cellStyle name="常规 2 2 2 2 3 2" xfId="159"/>
    <cellStyle name="常规 7 2 2 2" xfId="160"/>
    <cellStyle name="常规 2 2 2 2 3 2 2 2" xfId="161"/>
    <cellStyle name="常规 4 4_2016年决算(大口径)" xfId="162"/>
    <cellStyle name="常规 2 2 2 2 3 3" xfId="163"/>
    <cellStyle name="千位[0]_laroux" xfId="164"/>
    <cellStyle name="常规 2 2 2 2 3 3 2" xfId="165"/>
    <cellStyle name="常规 2 2 2 2 4" xfId="166"/>
    <cellStyle name="常规 5 2 3 2" xfId="167"/>
    <cellStyle name="常规 2 2 2 2 4 2" xfId="168"/>
    <cellStyle name="常规 2 2 2 3" xfId="169"/>
    <cellStyle name="常规 2 2 2 3 2" xfId="170"/>
    <cellStyle name="常规 2 2 2 3 2 2" xfId="171"/>
    <cellStyle name="常规 2 2 2 3 2 2 2" xfId="172"/>
    <cellStyle name="常规 2 2 2 3 3" xfId="173"/>
    <cellStyle name="常规 7 3 2" xfId="174"/>
    <cellStyle name="常规 2 2 2 3 3 2" xfId="175"/>
    <cellStyle name="常规 2 2 2 4 2" xfId="176"/>
    <cellStyle name="常规 2 2 3" xfId="177"/>
    <cellStyle name="常规 2 2 3 2" xfId="178"/>
    <cellStyle name="常规 2 2 3 2 2" xfId="179"/>
    <cellStyle name="常规 2 2 3 2 2 2" xfId="180"/>
    <cellStyle name="常规 2 2 3 2 2 2 2 2" xfId="181"/>
    <cellStyle name="常规 4 2 3" xfId="182"/>
    <cellStyle name="常规 4 5" xfId="183"/>
    <cellStyle name="常规 6 2_2016年决算(大口径)" xfId="184"/>
    <cellStyle name="常规 2 2 3 2 2 3" xfId="185"/>
    <cellStyle name="常规 2 2 3 2_2016年决算(大口径)" xfId="186"/>
    <cellStyle name="常规 2 2 3 2 3" xfId="187"/>
    <cellStyle name="常规 8 2 2" xfId="188"/>
    <cellStyle name="콤마_BOILER-CO1" xfId="189"/>
    <cellStyle name="常规 2 2 3 2 3 2" xfId="190"/>
    <cellStyle name="常规 2 2 3 3" xfId="191"/>
    <cellStyle name="常规 2 2 3 3 2" xfId="192"/>
    <cellStyle name="常规 2 2 3 3 2 2" xfId="193"/>
    <cellStyle name="常规 2 2 3 3 2 2 2" xfId="194"/>
    <cellStyle name="常规 2 2 3 3 3" xfId="195"/>
    <cellStyle name="常规 2 2 3 3 3 2" xfId="196"/>
    <cellStyle name="常规 2 2 3 4" xfId="197"/>
    <cellStyle name="常规 2 2 3 4 2" xfId="198"/>
    <cellStyle name="常规 2 2 4 2" xfId="199"/>
    <cellStyle name="常规 2 2 4 2 2" xfId="200"/>
    <cellStyle name="常规 4 2 2 4" xfId="201"/>
    <cellStyle name="好_月报2018年" xfId="202"/>
    <cellStyle name="常规 2 2 4 2 2 2" xfId="203"/>
    <cellStyle name="常规 4 2 2 4 2" xfId="204"/>
    <cellStyle name="好_月报2018年 2" xfId="205"/>
    <cellStyle name="常规 2 2 4 3" xfId="206"/>
    <cellStyle name="常规 2 2 4 3 2" xfId="207"/>
    <cellStyle name="常规 2 2 4_2016年决算(大口径)" xfId="208"/>
    <cellStyle name="常规 9" xfId="209"/>
    <cellStyle name="常规 2 2 5 2" xfId="210"/>
    <cellStyle name="常规 2 2 6" xfId="211"/>
    <cellStyle name="常规 2 2 7" xfId="212"/>
    <cellStyle name="常规 2 2 8" xfId="213"/>
    <cellStyle name="常规 2 2 9" xfId="214"/>
    <cellStyle name="常规 2 3" xfId="215"/>
    <cellStyle name="常规 2 3 2" xfId="216"/>
    <cellStyle name="常规 2 3 2 2" xfId="217"/>
    <cellStyle name="常规 2 3 2 2 2" xfId="218"/>
    <cellStyle name="常规 2 3 2 2 2 2 2" xfId="219"/>
    <cellStyle name="常规 4 2 2 2 3 2" xfId="220"/>
    <cellStyle name="常规 2 3 2 2 3" xfId="221"/>
    <cellStyle name="常规 2 3 2 2 3 2" xfId="222"/>
    <cellStyle name="常规 4 2 2 3 3" xfId="223"/>
    <cellStyle name="常规 2 3 2 3" xfId="224"/>
    <cellStyle name="常规 2 3 2 3 2" xfId="225"/>
    <cellStyle name="常规 5 2_2016年决算(大口径)" xfId="226"/>
    <cellStyle name="常规 2 3 2_2016年决算(大口径)" xfId="227"/>
    <cellStyle name="常规 2 3 3" xfId="228"/>
    <cellStyle name="常规 2 3 3 2" xfId="229"/>
    <cellStyle name="常规 2 3 3 2 2" xfId="230"/>
    <cellStyle name="常规 2 3 3 2 2 2" xfId="231"/>
    <cellStyle name="常规 4 3 2 2 3" xfId="232"/>
    <cellStyle name="常规 2 3 3 3" xfId="233"/>
    <cellStyle name="常规 2 3 3 3 2" xfId="234"/>
    <cellStyle name="常规 2 3 4" xfId="235"/>
    <cellStyle name="常规 2 3 4 2" xfId="236"/>
    <cellStyle name="常规 2 4" xfId="237"/>
    <cellStyle name="钎霖_laroux" xfId="238"/>
    <cellStyle name="常规 2 4 2" xfId="239"/>
    <cellStyle name="常规 2 4 2 2" xfId="240"/>
    <cellStyle name="常规 2 4 2 2 2" xfId="241"/>
    <cellStyle name="常规 2 4 3" xfId="242"/>
    <cellStyle name="常规 2 4 3 2" xfId="243"/>
    <cellStyle name="常规 8 2_2016年决算(大口径)" xfId="244"/>
    <cellStyle name="常规 2 4_2016年决算(大口径)" xfId="245"/>
    <cellStyle name="常规 2 5" xfId="246"/>
    <cellStyle name="常规 2 5 2" xfId="247"/>
    <cellStyle name="常规 2 5_2016年决算(大口径)" xfId="248"/>
    <cellStyle name="常规 2 6" xfId="249"/>
    <cellStyle name="常规 2 6 2" xfId="250"/>
    <cellStyle name="常规 25" xfId="251"/>
    <cellStyle name="常规 3" xfId="252"/>
    <cellStyle name="常规 3 2" xfId="253"/>
    <cellStyle name="常规 3 3" xfId="254"/>
    <cellStyle name="常规 3 3 2" xfId="255"/>
    <cellStyle name="常规 3 3 2 2" xfId="256"/>
    <cellStyle name="常规 3 4" xfId="257"/>
    <cellStyle name="常规 3 4 2" xfId="258"/>
    <cellStyle name="常规 3 5" xfId="259"/>
    <cellStyle name="常规 4" xfId="260"/>
    <cellStyle name="常规 5 3 2 2" xfId="261"/>
    <cellStyle name="常规 4 2" xfId="262"/>
    <cellStyle name="常规 5 3 2 2 2" xfId="263"/>
    <cellStyle name="常规 4 2 10" xfId="264"/>
    <cellStyle name="常规 4 2 2" xfId="265"/>
    <cellStyle name="常规 4 4" xfId="266"/>
    <cellStyle name="好_Book1" xfId="267"/>
    <cellStyle name="常规 4 2 2 2" xfId="268"/>
    <cellStyle name="常规 4 4 2" xfId="269"/>
    <cellStyle name="好_Book1 2" xfId="270"/>
    <cellStyle name="常规 4 2 2 2 2 2" xfId="271"/>
    <cellStyle name="常规 4 4 2 2 2" xfId="272"/>
    <cellStyle name="常规 4 2 2 2 2 2 2" xfId="273"/>
    <cellStyle name="常规 4 2 2 2 2 2 2 2" xfId="274"/>
    <cellStyle name="常规 4 2 2 2 2 3" xfId="275"/>
    <cellStyle name="常规 4 2 2 2 2 3 2" xfId="276"/>
    <cellStyle name="常规 4 2 2 2_2016年决算(大口径)" xfId="277"/>
    <cellStyle name="常规 4 2 2 3 2" xfId="278"/>
    <cellStyle name="常规 4 4 3 2" xfId="279"/>
    <cellStyle name="常规 4 2 2 3 2 2" xfId="280"/>
    <cellStyle name="常规 4 2 2 3 2 2 2" xfId="281"/>
    <cellStyle name="常规 4 2 2 3 3 2" xfId="282"/>
    <cellStyle name="常规 8" xfId="283"/>
    <cellStyle name="常规 4 2 3 2" xfId="284"/>
    <cellStyle name="常规 4 5 2" xfId="285"/>
    <cellStyle name="常规 4 2 3 2 2" xfId="286"/>
    <cellStyle name="常规 4 2 3 2 2 2" xfId="287"/>
    <cellStyle name="常规 4 2 3 3" xfId="288"/>
    <cellStyle name="常规 4 2 3 3 2" xfId="289"/>
    <cellStyle name="常规 4 3 2_2016年决算(大口径)" xfId="290"/>
    <cellStyle name="常规 4 2 3_2016年决算(大口径)" xfId="291"/>
    <cellStyle name="常规 4 2 4" xfId="292"/>
    <cellStyle name="常规 4 6" xfId="293"/>
    <cellStyle name="常规 4 2 4 2" xfId="294"/>
    <cellStyle name="常规 4 2 5" xfId="295"/>
    <cellStyle name="常规 4 7" xfId="296"/>
    <cellStyle name="常规 4 2 6" xfId="297"/>
    <cellStyle name="常规 4 2 7" xfId="298"/>
    <cellStyle name="常规 4 2 8" xfId="299"/>
    <cellStyle name="常规 4 2 9" xfId="300"/>
    <cellStyle name="常规 4 3" xfId="301"/>
    <cellStyle name="常规 4 3 2" xfId="302"/>
    <cellStyle name="常规 5 4" xfId="303"/>
    <cellStyle name="常规 4 3 2 2" xfId="304"/>
    <cellStyle name="常规 5 4 2" xfId="305"/>
    <cellStyle name="常规 4 3 2 2 2" xfId="306"/>
    <cellStyle name="常规 4 3 2 2 2 2" xfId="307"/>
    <cellStyle name="常规 4 3 2 2 2 2 2" xfId="308"/>
    <cellStyle name="常规 4 3 2 3" xfId="309"/>
    <cellStyle name="常规 4 3 2 3 2" xfId="310"/>
    <cellStyle name="常规 4 3 3" xfId="311"/>
    <cellStyle name="常规 4 3 3 2" xfId="312"/>
    <cellStyle name="常规 4 3 3 2 2" xfId="313"/>
    <cellStyle name="千位_laroux" xfId="314"/>
    <cellStyle name="常规 4 3 3 2 2 2" xfId="315"/>
    <cellStyle name="常规 4 3 3 3" xfId="316"/>
    <cellStyle name="常规 4 3 3 3 2" xfId="317"/>
    <cellStyle name="常规_2014全市合计录入表" xfId="318"/>
    <cellStyle name="常规 4 3 4" xfId="319"/>
    <cellStyle name="常规 4 3 4 2" xfId="320"/>
    <cellStyle name="常规 5" xfId="321"/>
    <cellStyle name="常规 5 2 2 2 2" xfId="322"/>
    <cellStyle name="常规 5 2 2 3" xfId="323"/>
    <cellStyle name="常规 5 3" xfId="324"/>
    <cellStyle name="常规 5 3 2" xfId="325"/>
    <cellStyle name="常规 5 3 3" xfId="326"/>
    <cellStyle name="常规 5 3 3 2" xfId="327"/>
    <cellStyle name="常规 6 2" xfId="328"/>
    <cellStyle name="常规 6 2 2" xfId="329"/>
    <cellStyle name="常规 6_2016年决算(大口径)" xfId="330"/>
    <cellStyle name="常规 7" xfId="331"/>
    <cellStyle name="常规 7 2" xfId="332"/>
    <cellStyle name="常规 7 2_2016年决算(大口径)" xfId="333"/>
    <cellStyle name="常规 8_2016年决算(大口径)" xfId="334"/>
    <cellStyle name="常规 9 2" xfId="335"/>
    <cellStyle name="常规 9 2 2" xfId="336"/>
    <cellStyle name="常规 9 2_2016年决算(大口径)" xfId="337"/>
    <cellStyle name="常规_1999总决算" xfId="338"/>
    <cellStyle name="常规_2014、2015社保基金预决算数据（人代会用）20150119 2 2 2" xfId="339"/>
    <cellStyle name="常规_2014、2015社保基金预决算数据（人代会用）20150122" xfId="340"/>
    <cellStyle name="常规_2014、2015社保基金预决算数据（人代会用）20150122 2 2" xfId="341"/>
    <cellStyle name="常规_Book1_1" xfId="342"/>
    <cellStyle name="常规_财政简讯报表十二月" xfId="343"/>
    <cellStyle name="常规_全市代编预算(地方增10.83)" xfId="344"/>
    <cellStyle name="好_2016年决算(大口径)" xfId="345"/>
    <cellStyle name="霓付 [0]_97MBO" xfId="346"/>
    <cellStyle name="霓付_97MBO" xfId="347"/>
    <cellStyle name="烹拳_97MBO" xfId="348"/>
    <cellStyle name="普通_ 白土" xfId="349"/>
    <cellStyle name="千分位[0]_ 白土" xfId="350"/>
    <cellStyle name="千分位_ 白土" xfId="351"/>
    <cellStyle name="样式 1" xfId="352"/>
    <cellStyle name="콤마 [0]_BOILER-CO1" xfId="353"/>
    <cellStyle name="통화 [0]_BOILER-CO1" xfId="354"/>
    <cellStyle name="통화_BOILER-CO1" xfId="355"/>
    <cellStyle name="표준_kc-elec system check list" xfId="356"/>
    <cellStyle name="常规_1999总决算 2" xfId="357"/>
    <cellStyle name="常规_全市代编预算(大口径增10.83)" xfId="358"/>
    <cellStyle name="常规_1999总决算_张掖市2017年财政收入预测分析表(高台县）_张掖市2018年大口径收入预算表" xfId="359"/>
    <cellStyle name="常规_zxqk01" xfId="3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workbookViewId="0" topLeftCell="A4">
      <selection activeCell="B6" sqref="B6:B7"/>
    </sheetView>
  </sheetViews>
  <sheetFormatPr defaultColWidth="9.00390625" defaultRowHeight="14.25"/>
  <cols>
    <col min="1" max="1" width="25.875" style="0" customWidth="1"/>
    <col min="2" max="2" width="10.625" style="0" customWidth="1"/>
    <col min="3" max="3" width="30.625" style="0" customWidth="1"/>
    <col min="4" max="4" width="10.625" style="0" customWidth="1"/>
    <col min="5" max="5" width="10.00390625" style="0" customWidth="1"/>
    <col min="6" max="6" width="11.00390625" style="0" customWidth="1"/>
  </cols>
  <sheetData>
    <row r="1" spans="1:6" ht="60.75" customHeight="1">
      <c r="A1" s="1" t="s">
        <v>171</v>
      </c>
      <c r="B1" s="25"/>
      <c r="C1" s="25"/>
      <c r="D1" s="25"/>
      <c r="E1" s="113"/>
      <c r="F1" s="113"/>
    </row>
    <row r="2" spans="1:4" ht="51" customHeight="1">
      <c r="A2" s="2" t="s">
        <v>172</v>
      </c>
      <c r="B2" s="2"/>
      <c r="C2" s="2"/>
      <c r="D2" s="2"/>
    </row>
    <row r="3" spans="1:4" ht="21" customHeight="1">
      <c r="A3" s="3" t="s">
        <v>2</v>
      </c>
      <c r="B3" s="3"/>
      <c r="C3" s="3"/>
      <c r="D3" s="3"/>
    </row>
    <row r="4" spans="1:4" ht="78" customHeight="1">
      <c r="A4" s="4" t="s">
        <v>137</v>
      </c>
      <c r="B4" s="114" t="s">
        <v>5</v>
      </c>
      <c r="C4" s="4" t="s">
        <v>137</v>
      </c>
      <c r="D4" s="114" t="s">
        <v>5</v>
      </c>
    </row>
    <row r="5" spans="1:4" ht="78" customHeight="1">
      <c r="A5" s="115" t="s">
        <v>173</v>
      </c>
      <c r="B5" s="116">
        <v>551</v>
      </c>
      <c r="C5" s="8" t="s">
        <v>174</v>
      </c>
      <c r="D5" s="116">
        <v>38</v>
      </c>
    </row>
    <row r="6" spans="1:4" ht="78" customHeight="1">
      <c r="A6" s="9" t="s">
        <v>175</v>
      </c>
      <c r="B6" s="116">
        <v>21</v>
      </c>
      <c r="C6" s="10" t="s">
        <v>176</v>
      </c>
      <c r="D6" s="116"/>
    </row>
    <row r="7" spans="1:4" ht="78" customHeight="1">
      <c r="A7" s="9" t="s">
        <v>97</v>
      </c>
      <c r="B7" s="116">
        <v>32</v>
      </c>
      <c r="C7" s="10" t="s">
        <v>177</v>
      </c>
      <c r="D7" s="116"/>
    </row>
    <row r="8" spans="1:4" ht="78" customHeight="1">
      <c r="A8" s="9"/>
      <c r="B8" s="116"/>
      <c r="C8" s="10" t="s">
        <v>178</v>
      </c>
      <c r="D8" s="116">
        <f>604-38</f>
        <v>566</v>
      </c>
    </row>
    <row r="9" spans="1:4" ht="78" customHeight="1">
      <c r="A9" s="9"/>
      <c r="B9" s="116"/>
      <c r="C9" s="10"/>
      <c r="D9" s="116"/>
    </row>
    <row r="10" spans="1:4" ht="78" customHeight="1">
      <c r="A10" s="13" t="s">
        <v>147</v>
      </c>
      <c r="B10" s="117">
        <f>SUM(B5:B9)</f>
        <v>604</v>
      </c>
      <c r="C10" s="14" t="s">
        <v>148</v>
      </c>
      <c r="D10" s="117">
        <f>SUM(D5:D9)</f>
        <v>604</v>
      </c>
    </row>
  </sheetData>
  <sheetProtection/>
  <mergeCells count="2">
    <mergeCell ref="A2:D2"/>
    <mergeCell ref="A3:D3"/>
  </mergeCells>
  <printOptions/>
  <pageMargins left="1.2986111111111112" right="0.7083333333333334" top="1.023611111111111" bottom="0.5902777777777778" header="0.3145833333333333" footer="0.3145833333333333"/>
  <pageSetup horizontalDpi="600" verticalDpi="6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showZeros="0" view="pageBreakPreview" zoomScaleSheetLayoutView="100" workbookViewId="0" topLeftCell="A1">
      <selection activeCell="C19" sqref="C19"/>
    </sheetView>
  </sheetViews>
  <sheetFormatPr defaultColWidth="9.00390625" defaultRowHeight="14.25"/>
  <cols>
    <col min="1" max="1" width="27.50390625" style="89" customWidth="1"/>
    <col min="2" max="3" width="18.125" style="90" customWidth="1"/>
    <col min="4" max="4" width="16.125" style="91" customWidth="1"/>
    <col min="5" max="16384" width="9.00390625" style="92" customWidth="1"/>
  </cols>
  <sheetData>
    <row r="1" ht="40.5" customHeight="1">
      <c r="A1" s="1" t="s">
        <v>179</v>
      </c>
    </row>
    <row r="2" spans="1:4" s="84" customFormat="1" ht="51" customHeight="1">
      <c r="A2" s="93" t="s">
        <v>180</v>
      </c>
      <c r="B2" s="93"/>
      <c r="C2" s="93"/>
      <c r="D2" s="93"/>
    </row>
    <row r="3" spans="1:4" s="85" customFormat="1" ht="21.75" customHeight="1">
      <c r="A3" s="94"/>
      <c r="B3" s="95"/>
      <c r="C3" s="95"/>
      <c r="D3" s="96" t="s">
        <v>2</v>
      </c>
    </row>
    <row r="4" spans="1:4" s="86" customFormat="1" ht="24" customHeight="1">
      <c r="A4" s="97" t="s">
        <v>3</v>
      </c>
      <c r="B4" s="98" t="s">
        <v>181</v>
      </c>
      <c r="C4" s="98" t="s">
        <v>182</v>
      </c>
      <c r="D4" s="99" t="s">
        <v>183</v>
      </c>
    </row>
    <row r="5" spans="1:4" s="86" customFormat="1" ht="24" customHeight="1">
      <c r="A5" s="100"/>
      <c r="B5" s="100"/>
      <c r="C5" s="100"/>
      <c r="D5" s="101"/>
    </row>
    <row r="6" spans="1:4" s="86" customFormat="1" ht="24" customHeight="1">
      <c r="A6" s="102" t="s">
        <v>184</v>
      </c>
      <c r="B6" s="103">
        <f>SUM(B7:B18)</f>
        <v>14705</v>
      </c>
      <c r="C6" s="104">
        <f>SUM(C7:C18)</f>
        <v>15600</v>
      </c>
      <c r="D6" s="105">
        <f>IF(B6=0,0,100*(C6-B6)/B6)</f>
        <v>6.086365181910915</v>
      </c>
    </row>
    <row r="7" spans="1:4" s="86" customFormat="1" ht="24" customHeight="1">
      <c r="A7" s="106" t="s">
        <v>13</v>
      </c>
      <c r="B7" s="107">
        <v>4955</v>
      </c>
      <c r="C7" s="108">
        <v>4600</v>
      </c>
      <c r="D7" s="109">
        <f>IF(B7=0,0,100*(C7-B7)/B7)</f>
        <v>-7.164480322906155</v>
      </c>
    </row>
    <row r="8" spans="1:4" s="87" customFormat="1" ht="24" customHeight="1">
      <c r="A8" s="106" t="s">
        <v>14</v>
      </c>
      <c r="B8" s="23">
        <v>1917</v>
      </c>
      <c r="C8" s="108">
        <v>2000</v>
      </c>
      <c r="D8" s="109">
        <f aca="true" t="shared" si="0" ref="D8:D19">IF(B8=0,0,100*(C8-B8)/B8)</f>
        <v>4.329681794470527</v>
      </c>
    </row>
    <row r="9" spans="1:4" s="87" customFormat="1" ht="24" customHeight="1">
      <c r="A9" s="106" t="s">
        <v>15</v>
      </c>
      <c r="B9" s="23">
        <v>341</v>
      </c>
      <c r="C9" s="108">
        <v>380</v>
      </c>
      <c r="D9" s="109">
        <f t="shared" si="0"/>
        <v>11.436950146627566</v>
      </c>
    </row>
    <row r="10" spans="1:4" s="87" customFormat="1" ht="24" customHeight="1">
      <c r="A10" s="106" t="s">
        <v>16</v>
      </c>
      <c r="B10" s="23">
        <v>54</v>
      </c>
      <c r="C10" s="108">
        <v>60</v>
      </c>
      <c r="D10" s="109">
        <f t="shared" si="0"/>
        <v>11.11111111111111</v>
      </c>
    </row>
    <row r="11" spans="1:4" s="87" customFormat="1" ht="24" customHeight="1">
      <c r="A11" s="106" t="s">
        <v>17</v>
      </c>
      <c r="B11" s="23">
        <v>695</v>
      </c>
      <c r="C11" s="108">
        <v>750</v>
      </c>
      <c r="D11" s="109">
        <f t="shared" si="0"/>
        <v>7.913669064748201</v>
      </c>
    </row>
    <row r="12" spans="1:4" s="87" customFormat="1" ht="24" customHeight="1">
      <c r="A12" s="106" t="s">
        <v>18</v>
      </c>
      <c r="B12" s="23">
        <v>1249</v>
      </c>
      <c r="C12" s="108">
        <v>1350</v>
      </c>
      <c r="D12" s="109">
        <f t="shared" si="0"/>
        <v>8.086469175340273</v>
      </c>
    </row>
    <row r="13" spans="1:4" s="87" customFormat="1" ht="24" customHeight="1">
      <c r="A13" s="106" t="s">
        <v>19</v>
      </c>
      <c r="B13" s="110">
        <v>467</v>
      </c>
      <c r="C13" s="108">
        <v>500</v>
      </c>
      <c r="D13" s="109">
        <f t="shared" si="0"/>
        <v>7.0663811563169165</v>
      </c>
    </row>
    <row r="14" spans="1:4" s="87" customFormat="1" ht="24" customHeight="1">
      <c r="A14" s="106" t="s">
        <v>20</v>
      </c>
      <c r="B14" s="110">
        <v>2894</v>
      </c>
      <c r="C14" s="108">
        <v>3100</v>
      </c>
      <c r="D14" s="109">
        <f t="shared" si="0"/>
        <v>7.118175535590877</v>
      </c>
    </row>
    <row r="15" spans="1:4" s="87" customFormat="1" ht="24" customHeight="1">
      <c r="A15" s="106" t="s">
        <v>21</v>
      </c>
      <c r="B15" s="110">
        <v>-46</v>
      </c>
      <c r="C15" s="108">
        <v>500</v>
      </c>
      <c r="D15" s="109">
        <f t="shared" si="0"/>
        <v>-1186.9565217391305</v>
      </c>
    </row>
    <row r="16" spans="1:4" s="87" customFormat="1" ht="24" customHeight="1">
      <c r="A16" s="106" t="s">
        <v>22</v>
      </c>
      <c r="B16" s="23">
        <v>1256</v>
      </c>
      <c r="C16" s="108">
        <v>1330</v>
      </c>
      <c r="D16" s="109">
        <f t="shared" si="0"/>
        <v>5.89171974522293</v>
      </c>
    </row>
    <row r="17" spans="1:4" s="87" customFormat="1" ht="24" customHeight="1">
      <c r="A17" s="106" t="s">
        <v>23</v>
      </c>
      <c r="B17" s="110">
        <v>903</v>
      </c>
      <c r="C17" s="108">
        <v>1000</v>
      </c>
      <c r="D17" s="109">
        <f t="shared" si="0"/>
        <v>10.741971207087486</v>
      </c>
    </row>
    <row r="18" spans="1:4" s="87" customFormat="1" ht="24" customHeight="1">
      <c r="A18" s="106" t="s">
        <v>24</v>
      </c>
      <c r="B18" s="23">
        <v>20</v>
      </c>
      <c r="C18" s="108">
        <v>30</v>
      </c>
      <c r="D18" s="109">
        <f t="shared" si="0"/>
        <v>50</v>
      </c>
    </row>
    <row r="19" spans="1:4" s="87" customFormat="1" ht="24" customHeight="1">
      <c r="A19" s="111" t="s">
        <v>185</v>
      </c>
      <c r="B19" s="112">
        <f>SUM(B20:B26)</f>
        <v>13400</v>
      </c>
      <c r="C19" s="112">
        <f>SUM(C20:C26)</f>
        <v>14330</v>
      </c>
      <c r="D19" s="105">
        <f aca="true" t="shared" si="1" ref="D19:D27">IF(B19=0,0,100*(C19-B19)/B19)</f>
        <v>6.940298507462686</v>
      </c>
    </row>
    <row r="20" spans="1:4" s="88" customFormat="1" ht="24" customHeight="1">
      <c r="A20" s="106" t="s">
        <v>26</v>
      </c>
      <c r="B20" s="108">
        <v>1726</v>
      </c>
      <c r="C20" s="108">
        <v>2000</v>
      </c>
      <c r="D20" s="109">
        <f t="shared" si="1"/>
        <v>15.874855156431055</v>
      </c>
    </row>
    <row r="21" spans="1:4" s="87" customFormat="1" ht="24" customHeight="1">
      <c r="A21" s="106" t="s">
        <v>27</v>
      </c>
      <c r="B21" s="108">
        <v>1365</v>
      </c>
      <c r="C21" s="108">
        <v>1600</v>
      </c>
      <c r="D21" s="109">
        <f t="shared" si="1"/>
        <v>17.216117216117215</v>
      </c>
    </row>
    <row r="22" spans="1:4" s="87" customFormat="1" ht="24" customHeight="1">
      <c r="A22" s="106" t="s">
        <v>28</v>
      </c>
      <c r="B22" s="108">
        <v>3160</v>
      </c>
      <c r="C22" s="108">
        <v>3350</v>
      </c>
      <c r="D22" s="109">
        <f t="shared" si="1"/>
        <v>6.012658227848101</v>
      </c>
    </row>
    <row r="23" spans="1:4" s="87" customFormat="1" ht="24" customHeight="1">
      <c r="A23" s="106" t="s">
        <v>29</v>
      </c>
      <c r="B23" s="108">
        <v>6828</v>
      </c>
      <c r="C23" s="108">
        <v>7000</v>
      </c>
      <c r="D23" s="109">
        <f t="shared" si="1"/>
        <v>2.519039250146456</v>
      </c>
    </row>
    <row r="24" spans="1:4" s="87" customFormat="1" ht="24" customHeight="1">
      <c r="A24" s="106" t="s">
        <v>30</v>
      </c>
      <c r="B24" s="108">
        <v>301</v>
      </c>
      <c r="C24" s="108">
        <v>350</v>
      </c>
      <c r="D24" s="109">
        <f t="shared" si="1"/>
        <v>16.27906976744186</v>
      </c>
    </row>
    <row r="25" spans="1:4" s="87" customFormat="1" ht="24" customHeight="1">
      <c r="A25" s="106" t="s">
        <v>31</v>
      </c>
      <c r="B25" s="108"/>
      <c r="C25" s="108"/>
      <c r="D25" s="109">
        <f t="shared" si="1"/>
        <v>0</v>
      </c>
    </row>
    <row r="26" spans="1:4" s="87" customFormat="1" ht="24" customHeight="1">
      <c r="A26" s="106" t="s">
        <v>32</v>
      </c>
      <c r="B26" s="108">
        <v>20</v>
      </c>
      <c r="C26" s="108">
        <v>30</v>
      </c>
      <c r="D26" s="109">
        <f t="shared" si="1"/>
        <v>50</v>
      </c>
    </row>
    <row r="27" spans="1:4" s="87" customFormat="1" ht="24" customHeight="1">
      <c r="A27" s="102" t="s">
        <v>33</v>
      </c>
      <c r="B27" s="112">
        <f>B6+B19</f>
        <v>28105</v>
      </c>
      <c r="C27" s="112">
        <f>C6+C19</f>
        <v>29930</v>
      </c>
      <c r="D27" s="105">
        <f t="shared" si="1"/>
        <v>6.4935064935064934</v>
      </c>
    </row>
  </sheetData>
  <sheetProtection/>
  <mergeCells count="5">
    <mergeCell ref="A2:D2"/>
    <mergeCell ref="A4:A5"/>
    <mergeCell ref="B4:B5"/>
    <mergeCell ref="C4:C5"/>
    <mergeCell ref="D4:D5"/>
  </mergeCells>
  <printOptions/>
  <pageMargins left="1.2597222222222222" right="0.3541666666666667" top="1.1805555555555556" bottom="0.5902777777777778" header="0.39305555555555555" footer="0.5118055555555555"/>
  <pageSetup firstPageNumber="27" useFirstPageNumber="1" horizontalDpi="600" verticalDpi="6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showZeros="0" workbookViewId="0" topLeftCell="A1">
      <selection activeCell="C13" sqref="C13"/>
    </sheetView>
  </sheetViews>
  <sheetFormatPr defaultColWidth="9.00390625" defaultRowHeight="14.25"/>
  <cols>
    <col min="1" max="1" width="30.125" style="37" customWidth="1"/>
    <col min="2" max="2" width="17.25390625" style="38" customWidth="1"/>
    <col min="3" max="4" width="17.25390625" style="39" customWidth="1"/>
    <col min="5" max="16384" width="9.00390625" style="34" customWidth="1"/>
  </cols>
  <sheetData>
    <row r="1" ht="49.5" customHeight="1">
      <c r="A1" s="1" t="s">
        <v>186</v>
      </c>
    </row>
    <row r="2" spans="1:4" s="32" customFormat="1" ht="51" customHeight="1">
      <c r="A2" s="67" t="s">
        <v>187</v>
      </c>
      <c r="B2" s="67"/>
      <c r="C2" s="67"/>
      <c r="D2" s="67"/>
    </row>
    <row r="3" spans="1:4" s="33" customFormat="1" ht="27" customHeight="1">
      <c r="A3" s="68"/>
      <c r="B3" s="69"/>
      <c r="C3" s="70"/>
      <c r="D3" s="71" t="s">
        <v>2</v>
      </c>
    </row>
    <row r="4" spans="1:4" s="66" customFormat="1" ht="27" customHeight="1">
      <c r="A4" s="72" t="s">
        <v>107</v>
      </c>
      <c r="B4" s="73" t="s">
        <v>188</v>
      </c>
      <c r="C4" s="73" t="s">
        <v>182</v>
      </c>
      <c r="D4" s="74" t="s">
        <v>189</v>
      </c>
    </row>
    <row r="5" spans="1:4" s="36" customFormat="1" ht="27" customHeight="1">
      <c r="A5" s="75" t="s">
        <v>61</v>
      </c>
      <c r="B5" s="76">
        <f>SUM(B6:B26)</f>
        <v>97528</v>
      </c>
      <c r="C5" s="76">
        <f>SUM(C6:C26)</f>
        <v>114032</v>
      </c>
      <c r="D5" s="77">
        <f>(C5-B5)/B5*100</f>
        <v>16.922319744073498</v>
      </c>
    </row>
    <row r="6" spans="1:4" s="36" customFormat="1" ht="27" customHeight="1">
      <c r="A6" s="78" t="s">
        <v>39</v>
      </c>
      <c r="B6" s="79">
        <v>15500</v>
      </c>
      <c r="C6" s="79">
        <v>16510</v>
      </c>
      <c r="D6" s="80">
        <f>(C6-B6)/B6*100</f>
        <v>6.516129032258064</v>
      </c>
    </row>
    <row r="7" spans="1:4" s="36" customFormat="1" ht="27" customHeight="1">
      <c r="A7" s="78" t="s">
        <v>40</v>
      </c>
      <c r="B7" s="79">
        <v>30</v>
      </c>
      <c r="C7" s="79">
        <v>45</v>
      </c>
      <c r="D7" s="80">
        <f aca="true" t="shared" si="0" ref="D7:D26">(C7-B7)/B7*100</f>
        <v>50</v>
      </c>
    </row>
    <row r="8" spans="1:4" s="36" customFormat="1" ht="27" customHeight="1">
      <c r="A8" s="78" t="s">
        <v>41</v>
      </c>
      <c r="B8" s="79">
        <v>5500</v>
      </c>
      <c r="C8" s="79">
        <v>6500</v>
      </c>
      <c r="D8" s="80">
        <f t="shared" si="0"/>
        <v>18.181818181818183</v>
      </c>
    </row>
    <row r="9" spans="1:4" s="36" customFormat="1" ht="27" customHeight="1">
      <c r="A9" s="78" t="s">
        <v>42</v>
      </c>
      <c r="B9" s="79">
        <f>15500+9786-2000</f>
        <v>23286</v>
      </c>
      <c r="C9" s="79">
        <f>15500+9786-2000+800-585+100</f>
        <v>23601</v>
      </c>
      <c r="D9" s="80">
        <f t="shared" si="0"/>
        <v>1.3527441381087348</v>
      </c>
    </row>
    <row r="10" spans="1:4" s="36" customFormat="1" ht="27" customHeight="1">
      <c r="A10" s="78" t="s">
        <v>43</v>
      </c>
      <c r="B10" s="81">
        <v>800</v>
      </c>
      <c r="C10" s="79">
        <v>900</v>
      </c>
      <c r="D10" s="80">
        <f t="shared" si="0"/>
        <v>12.5</v>
      </c>
    </row>
    <row r="11" spans="1:4" s="36" customFormat="1" ht="27" customHeight="1">
      <c r="A11" s="78" t="s">
        <v>44</v>
      </c>
      <c r="B11" s="81">
        <v>1250</v>
      </c>
      <c r="C11" s="79">
        <v>2050</v>
      </c>
      <c r="D11" s="80">
        <f t="shared" si="0"/>
        <v>64</v>
      </c>
    </row>
    <row r="12" spans="1:4" s="36" customFormat="1" ht="27" customHeight="1">
      <c r="A12" s="78" t="s">
        <v>45</v>
      </c>
      <c r="B12" s="81">
        <v>13000</v>
      </c>
      <c r="C12" s="79">
        <f>13500+10</f>
        <v>13510</v>
      </c>
      <c r="D12" s="80">
        <f t="shared" si="0"/>
        <v>3.923076923076923</v>
      </c>
    </row>
    <row r="13" spans="1:4" s="36" customFormat="1" ht="27" customHeight="1">
      <c r="A13" s="78" t="s">
        <v>46</v>
      </c>
      <c r="B13" s="81">
        <v>5500</v>
      </c>
      <c r="C13" s="79">
        <v>6200</v>
      </c>
      <c r="D13" s="80">
        <f t="shared" si="0"/>
        <v>12.727272727272727</v>
      </c>
    </row>
    <row r="14" spans="1:4" s="36" customFormat="1" ht="27" customHeight="1">
      <c r="A14" s="78" t="s">
        <v>47</v>
      </c>
      <c r="B14" s="81">
        <v>1050</v>
      </c>
      <c r="C14" s="79">
        <v>1950</v>
      </c>
      <c r="D14" s="80">
        <f t="shared" si="0"/>
        <v>85.71428571428571</v>
      </c>
    </row>
    <row r="15" spans="1:4" s="36" customFormat="1" ht="27" customHeight="1">
      <c r="A15" s="78" t="s">
        <v>48</v>
      </c>
      <c r="B15" s="81">
        <v>3500</v>
      </c>
      <c r="C15" s="79">
        <v>4200</v>
      </c>
      <c r="D15" s="80">
        <f t="shared" si="0"/>
        <v>20</v>
      </c>
    </row>
    <row r="16" spans="1:4" s="36" customFormat="1" ht="27" customHeight="1">
      <c r="A16" s="78" t="s">
        <v>49</v>
      </c>
      <c r="B16" s="81">
        <v>14500</v>
      </c>
      <c r="C16" s="79">
        <v>14600</v>
      </c>
      <c r="D16" s="80">
        <f t="shared" si="0"/>
        <v>0.6896551724137931</v>
      </c>
    </row>
    <row r="17" spans="1:4" s="36" customFormat="1" ht="27" customHeight="1">
      <c r="A17" s="78" t="s">
        <v>50</v>
      </c>
      <c r="B17" s="81">
        <v>1220</v>
      </c>
      <c r="C17" s="79">
        <v>1820</v>
      </c>
      <c r="D17" s="80">
        <f t="shared" si="0"/>
        <v>49.18032786885246</v>
      </c>
    </row>
    <row r="18" spans="1:4" s="36" customFormat="1" ht="27" customHeight="1">
      <c r="A18" s="78" t="s">
        <v>51</v>
      </c>
      <c r="B18" s="81">
        <v>410</v>
      </c>
      <c r="C18" s="79">
        <v>910</v>
      </c>
      <c r="D18" s="80">
        <f t="shared" si="0"/>
        <v>121.95121951219512</v>
      </c>
    </row>
    <row r="19" spans="1:4" s="36" customFormat="1" ht="27" customHeight="1">
      <c r="A19" s="78" t="s">
        <v>52</v>
      </c>
      <c r="B19" s="79">
        <v>835</v>
      </c>
      <c r="C19" s="79">
        <v>1835</v>
      </c>
      <c r="D19" s="80">
        <f t="shared" si="0"/>
        <v>119.76047904191616</v>
      </c>
    </row>
    <row r="20" spans="1:4" s="36" customFormat="1" ht="27" customHeight="1">
      <c r="A20" s="78" t="s">
        <v>190</v>
      </c>
      <c r="B20" s="79">
        <v>1080</v>
      </c>
      <c r="C20" s="79">
        <v>1880</v>
      </c>
      <c r="D20" s="80">
        <f t="shared" si="0"/>
        <v>74.07407407407408</v>
      </c>
    </row>
    <row r="21" spans="1:4" s="36" customFormat="1" ht="27" customHeight="1">
      <c r="A21" s="78" t="s">
        <v>191</v>
      </c>
      <c r="B21" s="79">
        <v>3850</v>
      </c>
      <c r="C21" s="79">
        <v>4850</v>
      </c>
      <c r="D21" s="80">
        <f t="shared" si="0"/>
        <v>25.97402597402597</v>
      </c>
    </row>
    <row r="22" spans="1:4" s="36" customFormat="1" ht="27" customHeight="1">
      <c r="A22" s="78" t="s">
        <v>192</v>
      </c>
      <c r="B22" s="79">
        <v>350</v>
      </c>
      <c r="C22" s="79">
        <v>850</v>
      </c>
      <c r="D22" s="80">
        <f t="shared" si="0"/>
        <v>142.85714285714286</v>
      </c>
    </row>
    <row r="23" spans="1:4" s="36" customFormat="1" ht="27" customHeight="1">
      <c r="A23" s="78" t="s">
        <v>193</v>
      </c>
      <c r="B23" s="79">
        <v>980</v>
      </c>
      <c r="C23" s="79">
        <v>1580</v>
      </c>
      <c r="D23" s="80">
        <f t="shared" si="0"/>
        <v>61.224489795918366</v>
      </c>
    </row>
    <row r="24" spans="1:4" s="35" customFormat="1" ht="27" customHeight="1">
      <c r="A24" s="82" t="s">
        <v>194</v>
      </c>
      <c r="B24" s="79">
        <v>800</v>
      </c>
      <c r="C24" s="79">
        <v>800</v>
      </c>
      <c r="D24" s="80">
        <f t="shared" si="0"/>
        <v>0</v>
      </c>
    </row>
    <row r="25" spans="1:4" s="35" customFormat="1" ht="27" customHeight="1">
      <c r="A25" s="83" t="s">
        <v>58</v>
      </c>
      <c r="B25" s="79">
        <f>2977+380+230</f>
        <v>3587</v>
      </c>
      <c r="C25" s="79">
        <v>3756</v>
      </c>
      <c r="D25" s="80">
        <f t="shared" si="0"/>
        <v>4.711458042932813</v>
      </c>
    </row>
    <row r="26" spans="1:4" s="36" customFormat="1" ht="27" customHeight="1">
      <c r="A26" s="82" t="s">
        <v>195</v>
      </c>
      <c r="B26" s="79">
        <v>500</v>
      </c>
      <c r="C26" s="79">
        <f>5443+242</f>
        <v>5685</v>
      </c>
      <c r="D26" s="80">
        <f t="shared" si="0"/>
        <v>1037</v>
      </c>
    </row>
  </sheetData>
  <sheetProtection/>
  <mergeCells count="1">
    <mergeCell ref="A2:D2"/>
  </mergeCells>
  <printOptions/>
  <pageMargins left="1.1805555555555556" right="0.3541666666666667" top="0.8659722222222223" bottom="0.5902777777777778" header="1.023611111111111" footer="0.5118055555555555"/>
  <pageSetup firstPageNumber="29" useFirstPageNumber="1" horizontalDpi="600" verticalDpi="6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55" customWidth="1"/>
    <col min="2" max="2" width="1.25" style="55" customWidth="1"/>
    <col min="3" max="3" width="28.875" style="55" customWidth="1"/>
    <col min="4" max="16384" width="8.25390625" style="55" customWidth="1"/>
  </cols>
  <sheetData>
    <row r="1" ht="12.75">
      <c r="A1" s="56" t="s">
        <v>196</v>
      </c>
    </row>
    <row r="2" ht="13.5">
      <c r="A2" s="56" t="s">
        <v>197</v>
      </c>
    </row>
    <row r="3" spans="1:3" ht="13.5">
      <c r="A3" s="57" t="s">
        <v>198</v>
      </c>
      <c r="C3" s="58" t="s">
        <v>199</v>
      </c>
    </row>
    <row r="4" ht="12.75">
      <c r="A4" s="57">
        <v>3</v>
      </c>
    </row>
    <row r="6" ht="13.5"/>
    <row r="7" ht="12.75">
      <c r="A7" s="59" t="s">
        <v>200</v>
      </c>
    </row>
    <row r="8" ht="12.75">
      <c r="A8" s="60" t="s">
        <v>201</v>
      </c>
    </row>
    <row r="9" ht="12.75">
      <c r="A9" s="61" t="s">
        <v>202</v>
      </c>
    </row>
    <row r="10" ht="12.75">
      <c r="A10" s="60" t="s">
        <v>203</v>
      </c>
    </row>
    <row r="11" ht="13.5">
      <c r="A11" s="62" t="s">
        <v>204</v>
      </c>
    </row>
    <row r="13" ht="13.5"/>
    <row r="14" ht="13.5">
      <c r="A14" s="58" t="s">
        <v>205</v>
      </c>
    </row>
    <row r="16" ht="13.5"/>
    <row r="17" ht="13.5">
      <c r="C17" s="58" t="s">
        <v>206</v>
      </c>
    </row>
    <row r="20" ht="12.75">
      <c r="A20" s="63" t="s">
        <v>207</v>
      </c>
    </row>
    <row r="21" ht="14.25">
      <c r="C21" s="64"/>
    </row>
    <row r="26" ht="13.5">
      <c r="C26" s="65" t="s">
        <v>208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Zeros="0" workbookViewId="0" topLeftCell="A1">
      <selection activeCell="D6" sqref="D6"/>
    </sheetView>
  </sheetViews>
  <sheetFormatPr defaultColWidth="9.00390625" defaultRowHeight="14.25"/>
  <cols>
    <col min="1" max="1" width="36.125" style="37" customWidth="1"/>
    <col min="2" max="2" width="13.625" style="38" customWidth="1"/>
    <col min="3" max="3" width="20.00390625" style="39" customWidth="1"/>
    <col min="4" max="4" width="13.625" style="39" customWidth="1"/>
    <col min="5" max="16384" width="9.00390625" style="34" customWidth="1"/>
  </cols>
  <sheetData>
    <row r="1" ht="36" customHeight="1">
      <c r="A1" s="1" t="s">
        <v>209</v>
      </c>
    </row>
    <row r="2" spans="1:4" s="32" customFormat="1" ht="43.5" customHeight="1">
      <c r="A2" s="40" t="s">
        <v>210</v>
      </c>
      <c r="B2" s="40"/>
      <c r="C2" s="40"/>
      <c r="D2" s="40"/>
    </row>
    <row r="3" spans="1:4" s="33" customFormat="1" ht="24.75" customHeight="1">
      <c r="A3" s="41"/>
      <c r="B3" s="42"/>
      <c r="C3" s="43" t="s">
        <v>2</v>
      </c>
      <c r="D3" s="43"/>
    </row>
    <row r="4" spans="1:4" s="34" customFormat="1" ht="30" customHeight="1">
      <c r="A4" s="44" t="s">
        <v>211</v>
      </c>
      <c r="B4" s="44" t="s">
        <v>4</v>
      </c>
      <c r="C4" s="44" t="s">
        <v>211</v>
      </c>
      <c r="D4" s="44" t="s">
        <v>4</v>
      </c>
    </row>
    <row r="5" spans="1:4" s="35" customFormat="1" ht="30" customHeight="1">
      <c r="A5" s="45" t="s">
        <v>212</v>
      </c>
      <c r="B5" s="46">
        <v>29930</v>
      </c>
      <c r="C5" s="47" t="s">
        <v>213</v>
      </c>
      <c r="D5" s="46">
        <f>B24-D6-D10</f>
        <v>114032</v>
      </c>
    </row>
    <row r="6" spans="1:4" s="35" customFormat="1" ht="30" customHeight="1">
      <c r="A6" s="48" t="s">
        <v>70</v>
      </c>
      <c r="B6" s="46">
        <f>SUM(B7:B10)</f>
        <v>3964</v>
      </c>
      <c r="C6" s="49" t="s">
        <v>71</v>
      </c>
      <c r="D6" s="46">
        <f>SUM(D7:D8)</f>
        <v>2336</v>
      </c>
    </row>
    <row r="7" spans="1:4" s="36" customFormat="1" ht="30" customHeight="1">
      <c r="A7" s="50" t="s">
        <v>214</v>
      </c>
      <c r="B7" s="51">
        <v>740</v>
      </c>
      <c r="C7" s="52" t="s">
        <v>215</v>
      </c>
      <c r="D7" s="51">
        <v>473</v>
      </c>
    </row>
    <row r="8" spans="1:4" s="36" customFormat="1" ht="30" customHeight="1">
      <c r="A8" s="50" t="s">
        <v>216</v>
      </c>
      <c r="B8" s="51">
        <v>634</v>
      </c>
      <c r="C8" s="53" t="s">
        <v>217</v>
      </c>
      <c r="D8" s="51">
        <v>1863</v>
      </c>
    </row>
    <row r="9" spans="1:4" s="36" customFormat="1" ht="30" customHeight="1">
      <c r="A9" s="50" t="s">
        <v>218</v>
      </c>
      <c r="B9" s="51">
        <v>98</v>
      </c>
      <c r="C9" s="52"/>
      <c r="D9" s="51"/>
    </row>
    <row r="10" spans="1:4" s="36" customFormat="1" ht="30" customHeight="1">
      <c r="A10" s="50" t="s">
        <v>219</v>
      </c>
      <c r="B10" s="51">
        <v>2492</v>
      </c>
      <c r="C10" s="49" t="s">
        <v>94</v>
      </c>
      <c r="D10" s="46">
        <v>7000</v>
      </c>
    </row>
    <row r="11" spans="1:4" s="35" customFormat="1" ht="30" customHeight="1">
      <c r="A11" s="48" t="s">
        <v>220</v>
      </c>
      <c r="B11" s="46">
        <f>SUM(B12:B18)</f>
        <v>83174</v>
      </c>
      <c r="C11" s="47" t="s">
        <v>221</v>
      </c>
      <c r="D11" s="46"/>
    </row>
    <row r="12" spans="1:4" s="36" customFormat="1" ht="30" customHeight="1">
      <c r="A12" s="50" t="s">
        <v>222</v>
      </c>
      <c r="B12" s="51">
        <v>52338</v>
      </c>
      <c r="C12" s="54" t="s">
        <v>98</v>
      </c>
      <c r="D12" s="51"/>
    </row>
    <row r="13" spans="1:4" s="36" customFormat="1" ht="30" customHeight="1">
      <c r="A13" s="50" t="s">
        <v>223</v>
      </c>
      <c r="B13" s="51">
        <v>11183</v>
      </c>
      <c r="C13" s="54" t="s">
        <v>224</v>
      </c>
      <c r="D13" s="52"/>
    </row>
    <row r="14" spans="1:4" s="36" customFormat="1" ht="30" customHeight="1">
      <c r="A14" s="50" t="s">
        <v>225</v>
      </c>
      <c r="B14" s="51">
        <f>4890-1722-150-400-150</f>
        <v>2468</v>
      </c>
      <c r="C14" s="54" t="s">
        <v>100</v>
      </c>
      <c r="D14" s="51"/>
    </row>
    <row r="15" spans="1:4" s="36" customFormat="1" ht="30" customHeight="1">
      <c r="A15" s="50" t="s">
        <v>226</v>
      </c>
      <c r="B15" s="51">
        <v>745</v>
      </c>
      <c r="C15" s="54" t="s">
        <v>224</v>
      </c>
      <c r="D15" s="51"/>
    </row>
    <row r="16" spans="1:4" s="36" customFormat="1" ht="30" customHeight="1">
      <c r="A16" s="50" t="s">
        <v>227</v>
      </c>
      <c r="B16" s="51">
        <v>7566</v>
      </c>
      <c r="C16" s="54" t="s">
        <v>103</v>
      </c>
      <c r="D16" s="51"/>
    </row>
    <row r="17" spans="1:4" s="36" customFormat="1" ht="30" customHeight="1">
      <c r="A17" s="50" t="s">
        <v>228</v>
      </c>
      <c r="B17" s="51">
        <v>351</v>
      </c>
      <c r="C17" s="54" t="s">
        <v>224</v>
      </c>
      <c r="D17" s="51"/>
    </row>
    <row r="18" spans="1:4" s="36" customFormat="1" ht="30" customHeight="1">
      <c r="A18" s="50" t="s">
        <v>229</v>
      </c>
      <c r="B18" s="51">
        <v>8523</v>
      </c>
      <c r="C18" s="54"/>
      <c r="D18" s="51"/>
    </row>
    <row r="19" spans="1:4" s="35" customFormat="1" ht="30" customHeight="1">
      <c r="A19" s="45" t="s">
        <v>230</v>
      </c>
      <c r="B19" s="46"/>
      <c r="C19" s="47"/>
      <c r="D19" s="46"/>
    </row>
    <row r="20" spans="1:4" s="35" customFormat="1" ht="30" customHeight="1">
      <c r="A20" s="45" t="s">
        <v>231</v>
      </c>
      <c r="B20" s="46"/>
      <c r="C20" s="47"/>
      <c r="D20" s="46"/>
    </row>
    <row r="21" spans="1:4" s="35" customFormat="1" ht="30" customHeight="1">
      <c r="A21" s="45" t="s">
        <v>232</v>
      </c>
      <c r="B21" s="46"/>
      <c r="C21" s="47"/>
      <c r="D21" s="46"/>
    </row>
    <row r="22" spans="1:4" s="35" customFormat="1" ht="30" customHeight="1">
      <c r="A22" s="45" t="s">
        <v>99</v>
      </c>
      <c r="B22" s="46">
        <v>6300</v>
      </c>
      <c r="C22" s="47"/>
      <c r="D22" s="46"/>
    </row>
    <row r="23" spans="1:4" s="35" customFormat="1" ht="30" customHeight="1">
      <c r="A23" s="48" t="s">
        <v>97</v>
      </c>
      <c r="B23" s="46">
        <v>0</v>
      </c>
      <c r="C23" s="47"/>
      <c r="D23" s="46"/>
    </row>
    <row r="24" spans="1:4" s="36" customFormat="1" ht="30" customHeight="1">
      <c r="A24" s="44" t="s">
        <v>233</v>
      </c>
      <c r="B24" s="51">
        <f>B5+B6+B11+B23+B19+B21+B22+B20</f>
        <v>123368</v>
      </c>
      <c r="C24" s="51" t="s">
        <v>234</v>
      </c>
      <c r="D24" s="51">
        <f>D5+D6+D10</f>
        <v>123368</v>
      </c>
    </row>
  </sheetData>
  <sheetProtection/>
  <mergeCells count="2">
    <mergeCell ref="A2:D2"/>
    <mergeCell ref="C3:D3"/>
  </mergeCells>
  <printOptions/>
  <pageMargins left="1.1020833333333333" right="0.3541666666666667" top="0.9840277777777777" bottom="0.5902777777777778" header="0.9444444444444444" footer="0.5118055555555555"/>
  <pageSetup firstPageNumber="29" useFirstPageNumber="1" horizontalDpi="600" verticalDpi="600" orientation="portrait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showZeros="0" workbookViewId="0" topLeftCell="A1">
      <selection activeCell="D12" sqref="D12"/>
    </sheetView>
  </sheetViews>
  <sheetFormatPr defaultColWidth="9.125" defaultRowHeight="14.25"/>
  <cols>
    <col min="1" max="1" width="33.625" style="25" customWidth="1"/>
    <col min="2" max="2" width="10.625" style="25" customWidth="1"/>
    <col min="3" max="3" width="29.00390625" style="25" customWidth="1"/>
    <col min="4" max="4" width="10.625" style="25" customWidth="1"/>
    <col min="5" max="16384" width="9.125" style="25" customWidth="1"/>
  </cols>
  <sheetData>
    <row r="1" ht="37.5" customHeight="1">
      <c r="A1" s="1" t="s">
        <v>235</v>
      </c>
    </row>
    <row r="2" spans="1:4" ht="49.5" customHeight="1">
      <c r="A2" s="2" t="s">
        <v>236</v>
      </c>
      <c r="B2" s="2"/>
      <c r="C2" s="2"/>
      <c r="D2" s="2"/>
    </row>
    <row r="3" spans="1:4" ht="24.75" customHeight="1">
      <c r="A3" s="3" t="s">
        <v>2</v>
      </c>
      <c r="B3" s="3"/>
      <c r="C3" s="3"/>
      <c r="D3" s="3"/>
    </row>
    <row r="4" spans="1:4" ht="43.5" customHeight="1">
      <c r="A4" s="4" t="s">
        <v>65</v>
      </c>
      <c r="B4" s="5" t="s">
        <v>237</v>
      </c>
      <c r="C4" s="4" t="s">
        <v>67</v>
      </c>
      <c r="D4" s="5" t="s">
        <v>237</v>
      </c>
    </row>
    <row r="5" spans="1:4" ht="43.5" customHeight="1">
      <c r="A5" s="26" t="s">
        <v>238</v>
      </c>
      <c r="B5" s="20">
        <f>SUM(B6:B9)</f>
        <v>11000</v>
      </c>
      <c r="C5" s="27" t="s">
        <v>239</v>
      </c>
      <c r="D5" s="4">
        <f>SUM(D6:D13)</f>
        <v>13791</v>
      </c>
    </row>
    <row r="6" spans="1:4" ht="43.5" customHeight="1">
      <c r="A6" s="9" t="s">
        <v>240</v>
      </c>
      <c r="B6" s="7">
        <v>10200</v>
      </c>
      <c r="C6" s="10" t="s">
        <v>241</v>
      </c>
      <c r="D6" s="7">
        <f>729+55+8</f>
        <v>792</v>
      </c>
    </row>
    <row r="7" spans="1:4" ht="43.5" customHeight="1">
      <c r="A7" s="9" t="s">
        <v>242</v>
      </c>
      <c r="B7" s="7">
        <v>300</v>
      </c>
      <c r="C7" s="10" t="s">
        <v>243</v>
      </c>
      <c r="D7" s="11">
        <f>350+284</f>
        <v>634</v>
      </c>
    </row>
    <row r="8" spans="1:4" ht="43.5" customHeight="1">
      <c r="A8" s="9" t="s">
        <v>244</v>
      </c>
      <c r="B8" s="7">
        <v>350</v>
      </c>
      <c r="C8" s="10" t="s">
        <v>245</v>
      </c>
      <c r="D8" s="28">
        <v>300</v>
      </c>
    </row>
    <row r="9" spans="1:4" ht="43.5" customHeight="1">
      <c r="A9" s="9" t="s">
        <v>246</v>
      </c>
      <c r="B9" s="7">
        <v>150</v>
      </c>
      <c r="C9" s="10" t="s">
        <v>247</v>
      </c>
      <c r="D9" s="7">
        <f>150+136</f>
        <v>286</v>
      </c>
    </row>
    <row r="10" spans="1:4" ht="43.5" customHeight="1">
      <c r="A10" s="26" t="s">
        <v>248</v>
      </c>
      <c r="B10" s="20"/>
      <c r="C10" s="10" t="s">
        <v>249</v>
      </c>
      <c r="D10" s="7">
        <v>584</v>
      </c>
    </row>
    <row r="11" spans="1:4" ht="43.5" customHeight="1">
      <c r="A11" s="26" t="s">
        <v>250</v>
      </c>
      <c r="B11" s="5">
        <v>2400</v>
      </c>
      <c r="C11" s="29" t="s">
        <v>251</v>
      </c>
      <c r="D11" s="7">
        <v>35</v>
      </c>
    </row>
    <row r="12" spans="1:4" ht="43.5" customHeight="1">
      <c r="A12" s="26" t="s">
        <v>252</v>
      </c>
      <c r="B12" s="20">
        <v>391</v>
      </c>
      <c r="C12" s="30" t="s">
        <v>253</v>
      </c>
      <c r="D12" s="7">
        <v>6760</v>
      </c>
    </row>
    <row r="13" spans="1:4" ht="43.5" customHeight="1">
      <c r="A13" s="26" t="s">
        <v>254</v>
      </c>
      <c r="B13" s="20">
        <v>3000</v>
      </c>
      <c r="C13" s="30" t="s">
        <v>255</v>
      </c>
      <c r="D13" s="7">
        <v>4400</v>
      </c>
    </row>
    <row r="14" spans="1:4" ht="43.5" customHeight="1">
      <c r="A14" s="26"/>
      <c r="B14" s="20"/>
      <c r="C14" s="31" t="s">
        <v>256</v>
      </c>
      <c r="D14" s="4">
        <v>3000</v>
      </c>
    </row>
    <row r="15" spans="1:4" ht="43.5" customHeight="1">
      <c r="A15" s="13" t="s">
        <v>147</v>
      </c>
      <c r="B15" s="4">
        <f>B5+B10+B11+B12+B13</f>
        <v>16791</v>
      </c>
      <c r="C15" s="14" t="s">
        <v>148</v>
      </c>
      <c r="D15" s="4">
        <f>D5+D14</f>
        <v>16791</v>
      </c>
    </row>
    <row r="16" ht="14.25" customHeight="1"/>
  </sheetData>
  <sheetProtection/>
  <mergeCells count="2">
    <mergeCell ref="A2:D2"/>
    <mergeCell ref="A3:D3"/>
  </mergeCells>
  <printOptions horizontalCentered="1"/>
  <pageMargins left="0.9840277777777777" right="0.7479166666666667" top="1.1805555555555556" bottom="0.5902777777777778" header="0.7083333333333334" footer="0.5118055555555555"/>
  <pageSetup horizontalDpi="600" verticalDpi="600" orientation="portrait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workbookViewId="0" topLeftCell="A1">
      <selection activeCell="H19" sqref="H19"/>
    </sheetView>
  </sheetViews>
  <sheetFormatPr defaultColWidth="9.00390625" defaultRowHeight="14.25"/>
  <cols>
    <col min="1" max="1" width="27.375" style="0" customWidth="1"/>
    <col min="2" max="2" width="15.125" style="0" customWidth="1"/>
    <col min="3" max="4" width="16.75390625" style="0" customWidth="1"/>
  </cols>
  <sheetData>
    <row r="1" ht="43.5" customHeight="1">
      <c r="A1" s="1" t="s">
        <v>257</v>
      </c>
    </row>
    <row r="2" spans="1:4" ht="51" customHeight="1">
      <c r="A2" s="15" t="s">
        <v>258</v>
      </c>
      <c r="B2" s="15"/>
      <c r="C2" s="15"/>
      <c r="D2" s="15"/>
    </row>
    <row r="3" spans="1:4" ht="18" customHeight="1">
      <c r="A3" s="16" t="s">
        <v>2</v>
      </c>
      <c r="B3" s="16"/>
      <c r="C3" s="16"/>
      <c r="D3" s="16"/>
    </row>
    <row r="4" spans="1:4" ht="45" customHeight="1">
      <c r="A4" s="17" t="s">
        <v>259</v>
      </c>
      <c r="B4" s="17" t="s">
        <v>260</v>
      </c>
      <c r="C4" s="18" t="s">
        <v>261</v>
      </c>
      <c r="D4" s="18" t="s">
        <v>262</v>
      </c>
    </row>
    <row r="5" spans="1:4" ht="37.5" customHeight="1">
      <c r="A5" s="19" t="s">
        <v>263</v>
      </c>
      <c r="B5" s="20">
        <f aca="true" t="shared" si="0" ref="B5:B15">SUM(C5:D5)</f>
        <v>4575</v>
      </c>
      <c r="C5" s="20">
        <v>3564</v>
      </c>
      <c r="D5" s="20">
        <v>1011</v>
      </c>
    </row>
    <row r="6" spans="1:4" ht="37.5" customHeight="1">
      <c r="A6" s="21" t="s">
        <v>264</v>
      </c>
      <c r="B6" s="20">
        <f t="shared" si="0"/>
        <v>23117</v>
      </c>
      <c r="C6" s="20">
        <f>SUM(C7:C11)</f>
        <v>7250</v>
      </c>
      <c r="D6" s="20">
        <f>SUM(D7:D11)</f>
        <v>15867</v>
      </c>
    </row>
    <row r="7" spans="1:4" ht="37.5" customHeight="1">
      <c r="A7" s="22" t="s">
        <v>265</v>
      </c>
      <c r="B7" s="23">
        <f t="shared" si="0"/>
        <v>13777</v>
      </c>
      <c r="C7" s="23">
        <v>2701</v>
      </c>
      <c r="D7" s="23">
        <v>11076</v>
      </c>
    </row>
    <row r="8" spans="1:4" ht="37.5" customHeight="1">
      <c r="A8" s="22" t="s">
        <v>266</v>
      </c>
      <c r="B8" s="23">
        <f t="shared" si="0"/>
        <v>0</v>
      </c>
      <c r="C8" s="23"/>
      <c r="D8" s="23"/>
    </row>
    <row r="9" spans="1:4" ht="37.5" customHeight="1">
      <c r="A9" s="22" t="s">
        <v>267</v>
      </c>
      <c r="B9" s="23">
        <f t="shared" si="0"/>
        <v>9109</v>
      </c>
      <c r="C9" s="23">
        <v>4509</v>
      </c>
      <c r="D9" s="23">
        <v>4600</v>
      </c>
    </row>
    <row r="10" spans="1:4" ht="37.5" customHeight="1">
      <c r="A10" s="22" t="s">
        <v>268</v>
      </c>
      <c r="B10" s="23">
        <f t="shared" si="0"/>
        <v>56</v>
      </c>
      <c r="C10" s="23">
        <v>40</v>
      </c>
      <c r="D10" s="23">
        <v>16</v>
      </c>
    </row>
    <row r="11" spans="1:4" ht="37.5" customHeight="1">
      <c r="A11" s="22" t="s">
        <v>269</v>
      </c>
      <c r="B11" s="23">
        <f t="shared" si="0"/>
        <v>175</v>
      </c>
      <c r="C11" s="23"/>
      <c r="D11" s="23">
        <v>175</v>
      </c>
    </row>
    <row r="12" spans="1:4" ht="37.5" customHeight="1">
      <c r="A12" s="21" t="s">
        <v>270</v>
      </c>
      <c r="B12" s="20">
        <f t="shared" si="0"/>
        <v>22415</v>
      </c>
      <c r="C12" s="20">
        <f>SUM(C13:C15)</f>
        <v>7184</v>
      </c>
      <c r="D12" s="20">
        <f>SUM(D13:D15)</f>
        <v>15231</v>
      </c>
    </row>
    <row r="13" spans="1:4" ht="37.5" customHeight="1">
      <c r="A13" s="24" t="s">
        <v>271</v>
      </c>
      <c r="B13" s="23">
        <f t="shared" si="0"/>
        <v>22415</v>
      </c>
      <c r="C13" s="23">
        <v>7184</v>
      </c>
      <c r="D13" s="23">
        <v>15231</v>
      </c>
    </row>
    <row r="14" spans="1:4" ht="37.5" customHeight="1">
      <c r="A14" s="22" t="s">
        <v>272</v>
      </c>
      <c r="B14" s="23">
        <f t="shared" si="0"/>
        <v>0</v>
      </c>
      <c r="C14" s="23"/>
      <c r="D14" s="23"/>
    </row>
    <row r="15" spans="1:4" ht="37.5" customHeight="1">
      <c r="A15" s="22" t="s">
        <v>273</v>
      </c>
      <c r="B15" s="23">
        <f t="shared" si="0"/>
        <v>0</v>
      </c>
      <c r="C15" s="23"/>
      <c r="D15" s="23"/>
    </row>
    <row r="16" spans="1:4" ht="37.5" customHeight="1">
      <c r="A16" s="21" t="s">
        <v>274</v>
      </c>
      <c r="B16" s="20">
        <f>B6-B12</f>
        <v>702</v>
      </c>
      <c r="C16" s="20">
        <f>C6-C12</f>
        <v>66</v>
      </c>
      <c r="D16" s="20">
        <f>D6-D12</f>
        <v>636</v>
      </c>
    </row>
    <row r="17" spans="1:4" ht="37.5" customHeight="1">
      <c r="A17" s="19" t="s">
        <v>275</v>
      </c>
      <c r="B17" s="4">
        <f>SUM(C17:D17)</f>
        <v>5277</v>
      </c>
      <c r="C17" s="4">
        <f>C5+C16</f>
        <v>3630</v>
      </c>
      <c r="D17" s="4">
        <f>D5+D16</f>
        <v>1647</v>
      </c>
    </row>
  </sheetData>
  <sheetProtection/>
  <mergeCells count="2">
    <mergeCell ref="A2:D2"/>
    <mergeCell ref="A3:D3"/>
  </mergeCells>
  <printOptions/>
  <pageMargins left="1.2201388888888889" right="0.7083333333333334" top="1.1805555555555556" bottom="0.5506944444444445" header="0.5118055555555555" footer="0.3145833333333333"/>
  <pageSetup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"/>
  <sheetViews>
    <sheetView workbookViewId="0" topLeftCell="A4">
      <selection activeCell="G9" sqref="G9"/>
    </sheetView>
  </sheetViews>
  <sheetFormatPr defaultColWidth="9.00390625" defaultRowHeight="14.25"/>
  <cols>
    <col min="1" max="1" width="25.00390625" style="0" customWidth="1"/>
    <col min="2" max="2" width="10.625" style="0" customWidth="1"/>
    <col min="3" max="3" width="27.125" style="0" customWidth="1"/>
    <col min="4" max="4" width="16.25390625" style="0" customWidth="1"/>
    <col min="5" max="5" width="9.375" style="0" customWidth="1"/>
    <col min="6" max="6" width="10.75390625" style="0" customWidth="1"/>
  </cols>
  <sheetData>
    <row r="1" ht="48" customHeight="1">
      <c r="A1" s="1" t="s">
        <v>276</v>
      </c>
    </row>
    <row r="2" spans="1:4" ht="51" customHeight="1">
      <c r="A2" s="2" t="s">
        <v>277</v>
      </c>
      <c r="B2" s="2"/>
      <c r="C2" s="2"/>
      <c r="D2" s="2"/>
    </row>
    <row r="3" spans="1:4" ht="33.75" customHeight="1">
      <c r="A3" s="3" t="s">
        <v>2</v>
      </c>
      <c r="B3" s="3"/>
      <c r="C3" s="3"/>
      <c r="D3" s="3"/>
    </row>
    <row r="4" spans="1:4" ht="61.5" customHeight="1">
      <c r="A4" s="4" t="s">
        <v>137</v>
      </c>
      <c r="B4" s="5" t="s">
        <v>237</v>
      </c>
      <c r="C4" s="4" t="s">
        <v>137</v>
      </c>
      <c r="D4" s="5" t="s">
        <v>237</v>
      </c>
    </row>
    <row r="5" spans="1:4" ht="78" customHeight="1">
      <c r="A5" s="6" t="s">
        <v>173</v>
      </c>
      <c r="B5" s="7">
        <v>420</v>
      </c>
      <c r="C5" s="8" t="s">
        <v>174</v>
      </c>
      <c r="D5" s="7">
        <v>15</v>
      </c>
    </row>
    <row r="6" spans="1:4" ht="78" customHeight="1">
      <c r="A6" s="9" t="s">
        <v>175</v>
      </c>
      <c r="B6" s="7">
        <v>0</v>
      </c>
      <c r="C6" s="10" t="s">
        <v>176</v>
      </c>
      <c r="D6" s="7">
        <v>971</v>
      </c>
    </row>
    <row r="7" spans="1:4" ht="78" customHeight="1">
      <c r="A7" s="9" t="s">
        <v>97</v>
      </c>
      <c r="B7" s="7">
        <v>566</v>
      </c>
      <c r="C7" s="10" t="s">
        <v>177</v>
      </c>
      <c r="D7" s="7">
        <v>0</v>
      </c>
    </row>
    <row r="8" spans="1:4" ht="78" customHeight="1">
      <c r="A8" s="9"/>
      <c r="B8" s="7">
        <v>0</v>
      </c>
      <c r="C8" s="10" t="s">
        <v>178</v>
      </c>
      <c r="D8" s="7"/>
    </row>
    <row r="9" spans="1:4" ht="78" customHeight="1">
      <c r="A9" s="9"/>
      <c r="B9" s="11"/>
      <c r="C9" s="10"/>
      <c r="D9" s="12"/>
    </row>
    <row r="10" spans="1:4" ht="78" customHeight="1">
      <c r="A10" s="13" t="s">
        <v>147</v>
      </c>
      <c r="B10" s="4">
        <f>SUM(B5:B9)</f>
        <v>986</v>
      </c>
      <c r="C10" s="14" t="s">
        <v>148</v>
      </c>
      <c r="D10" s="4">
        <f>SUM(D5:D9)</f>
        <v>986</v>
      </c>
    </row>
  </sheetData>
  <sheetProtection/>
  <mergeCells count="2">
    <mergeCell ref="A2:D2"/>
    <mergeCell ref="A3:D3"/>
  </mergeCells>
  <printOptions/>
  <pageMargins left="1.2201388888888889" right="0.7083333333333334" top="1.1805555555555556" bottom="0.5902777777777778" header="0.3145833333333333" footer="0.3145833333333333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Zeros="0" workbookViewId="0" topLeftCell="A1">
      <selection activeCell="C20" sqref="C20:C26"/>
    </sheetView>
  </sheetViews>
  <sheetFormatPr defaultColWidth="9.00390625" defaultRowHeight="14.25"/>
  <cols>
    <col min="1" max="1" width="28.625" style="243" customWidth="1"/>
    <col min="2" max="2" width="8.25390625" style="244" customWidth="1"/>
    <col min="3" max="3" width="8.125" style="244" customWidth="1"/>
    <col min="4" max="4" width="9.50390625" style="245" customWidth="1"/>
    <col min="5" max="5" width="8.375" style="245" hidden="1" customWidth="1"/>
    <col min="6" max="6" width="9.25390625" style="246" customWidth="1"/>
    <col min="7" max="7" width="8.75390625" style="246" customWidth="1"/>
    <col min="8" max="8" width="8.50390625" style="245" customWidth="1"/>
    <col min="9" max="16384" width="9.00390625" style="212" customWidth="1"/>
  </cols>
  <sheetData>
    <row r="1" spans="1:8" s="212" customFormat="1" ht="28.5" customHeight="1">
      <c r="A1" s="213" t="s">
        <v>0</v>
      </c>
      <c r="B1" s="244"/>
      <c r="C1" s="244"/>
      <c r="D1" s="245"/>
      <c r="E1" s="245"/>
      <c r="F1" s="246"/>
      <c r="G1" s="246"/>
      <c r="H1" s="245"/>
    </row>
    <row r="2" spans="1:8" s="204" customFormat="1" ht="54" customHeight="1">
      <c r="A2" s="214" t="s">
        <v>1</v>
      </c>
      <c r="B2" s="214"/>
      <c r="C2" s="214"/>
      <c r="D2" s="214"/>
      <c r="E2" s="214"/>
      <c r="F2" s="214"/>
      <c r="G2" s="214"/>
      <c r="H2" s="214"/>
    </row>
    <row r="3" spans="1:8" s="205" customFormat="1" ht="15" customHeight="1">
      <c r="A3" s="247"/>
      <c r="B3" s="248"/>
      <c r="C3" s="248"/>
      <c r="D3" s="249"/>
      <c r="E3" s="249"/>
      <c r="F3" s="250"/>
      <c r="G3" s="251" t="s">
        <v>2</v>
      </c>
      <c r="H3" s="252"/>
    </row>
    <row r="4" spans="1:8" s="206" customFormat="1" ht="24" customHeight="1">
      <c r="A4" s="253" t="s">
        <v>3</v>
      </c>
      <c r="B4" s="254" t="s">
        <v>4</v>
      </c>
      <c r="C4" s="254" t="s">
        <v>5</v>
      </c>
      <c r="D4" s="255" t="s">
        <v>6</v>
      </c>
      <c r="E4" s="256" t="s">
        <v>7</v>
      </c>
      <c r="F4" s="257"/>
      <c r="G4" s="257"/>
      <c r="H4" s="258"/>
    </row>
    <row r="5" spans="1:8" s="206" customFormat="1" ht="30" customHeight="1">
      <c r="A5" s="259"/>
      <c r="B5" s="259"/>
      <c r="C5" s="259"/>
      <c r="D5" s="260"/>
      <c r="E5" s="261" t="s">
        <v>8</v>
      </c>
      <c r="F5" s="261" t="s">
        <v>9</v>
      </c>
      <c r="G5" s="262" t="s">
        <v>10</v>
      </c>
      <c r="H5" s="255" t="s">
        <v>11</v>
      </c>
    </row>
    <row r="6" spans="1:8" s="206" customFormat="1" ht="24" customHeight="1">
      <c r="A6" s="263" t="s">
        <v>12</v>
      </c>
      <c r="B6" s="104">
        <f>SUM(B7:B18)</f>
        <v>12339</v>
      </c>
      <c r="C6" s="103">
        <f>SUM(C7:C18)</f>
        <v>14705</v>
      </c>
      <c r="D6" s="242">
        <f aca="true" t="shared" si="0" ref="D6:D16">IF(B6=0,0,100*C6/B6)</f>
        <v>119.17497366075047</v>
      </c>
      <c r="E6" s="264">
        <f>SUM(E7:E18)</f>
        <v>9215</v>
      </c>
      <c r="F6" s="264">
        <f>SUM(F7:F18)</f>
        <v>10790</v>
      </c>
      <c r="G6" s="103">
        <f>SUM(G7:G18)</f>
        <v>3915</v>
      </c>
      <c r="H6" s="240">
        <f aca="true" t="shared" si="1" ref="H6:H16">IF(F6=0,0,100*G6/F6)</f>
        <v>36.28359592215014</v>
      </c>
    </row>
    <row r="7" spans="1:8" s="207" customFormat="1" ht="24" customHeight="1">
      <c r="A7" s="191" t="s">
        <v>13</v>
      </c>
      <c r="B7" s="108">
        <f>3229-300+1000</f>
        <v>3929</v>
      </c>
      <c r="C7" s="107">
        <v>4955</v>
      </c>
      <c r="D7" s="236">
        <f t="shared" si="0"/>
        <v>126.1135148892848</v>
      </c>
      <c r="E7" s="265">
        <v>2391</v>
      </c>
      <c r="F7" s="265">
        <v>2479</v>
      </c>
      <c r="G7" s="107">
        <f aca="true" t="shared" si="2" ref="G7:G16">C7-F7</f>
        <v>2476</v>
      </c>
      <c r="H7" s="233">
        <f t="shared" si="1"/>
        <v>99.87898346107302</v>
      </c>
    </row>
    <row r="8" spans="1:8" s="207" customFormat="1" ht="24" customHeight="1">
      <c r="A8" s="191" t="s">
        <v>14</v>
      </c>
      <c r="B8" s="108">
        <f>800+100</f>
        <v>900</v>
      </c>
      <c r="C8" s="23">
        <v>1917</v>
      </c>
      <c r="D8" s="236">
        <f t="shared" si="0"/>
        <v>213</v>
      </c>
      <c r="E8" s="265">
        <v>808</v>
      </c>
      <c r="F8" s="265">
        <v>811</v>
      </c>
      <c r="G8" s="107">
        <f t="shared" si="2"/>
        <v>1106</v>
      </c>
      <c r="H8" s="233">
        <f t="shared" si="1"/>
        <v>136.37484586929716</v>
      </c>
    </row>
    <row r="9" spans="1:8" s="207" customFormat="1" ht="24" customHeight="1">
      <c r="A9" s="191" t="s">
        <v>15</v>
      </c>
      <c r="B9" s="108">
        <v>264</v>
      </c>
      <c r="C9" s="23">
        <v>341</v>
      </c>
      <c r="D9" s="236">
        <f t="shared" si="0"/>
        <v>129.16666666666666</v>
      </c>
      <c r="E9" s="265">
        <v>193</v>
      </c>
      <c r="F9" s="265">
        <v>253</v>
      </c>
      <c r="G9" s="107">
        <f t="shared" si="2"/>
        <v>88</v>
      </c>
      <c r="H9" s="233">
        <f t="shared" si="1"/>
        <v>34.78260869565217</v>
      </c>
    </row>
    <row r="10" spans="1:8" s="207" customFormat="1" ht="24" customHeight="1">
      <c r="A10" s="191" t="s">
        <v>16</v>
      </c>
      <c r="B10" s="108">
        <v>75</v>
      </c>
      <c r="C10" s="23">
        <v>54</v>
      </c>
      <c r="D10" s="236">
        <f t="shared" si="0"/>
        <v>72</v>
      </c>
      <c r="E10" s="266">
        <v>10</v>
      </c>
      <c r="F10" s="266">
        <v>66</v>
      </c>
      <c r="G10" s="107">
        <f t="shared" si="2"/>
        <v>-12</v>
      </c>
      <c r="H10" s="233">
        <f t="shared" si="1"/>
        <v>-18.181818181818183</v>
      </c>
    </row>
    <row r="11" spans="1:8" s="207" customFormat="1" ht="24" customHeight="1">
      <c r="A11" s="191" t="s">
        <v>17</v>
      </c>
      <c r="B11" s="108">
        <f>500+100</f>
        <v>600</v>
      </c>
      <c r="C11" s="23">
        <v>695</v>
      </c>
      <c r="D11" s="236">
        <f t="shared" si="0"/>
        <v>115.83333333333333</v>
      </c>
      <c r="E11" s="266">
        <v>423</v>
      </c>
      <c r="F11" s="266">
        <v>586</v>
      </c>
      <c r="G11" s="107">
        <f t="shared" si="2"/>
        <v>109</v>
      </c>
      <c r="H11" s="233">
        <f t="shared" si="1"/>
        <v>18.600682593856654</v>
      </c>
    </row>
    <row r="12" spans="1:8" s="207" customFormat="1" ht="24" customHeight="1">
      <c r="A12" s="191" t="s">
        <v>18</v>
      </c>
      <c r="B12" s="108">
        <f>1320+50+130</f>
        <v>1500</v>
      </c>
      <c r="C12" s="23">
        <v>1249</v>
      </c>
      <c r="D12" s="236">
        <f t="shared" si="0"/>
        <v>83.26666666666667</v>
      </c>
      <c r="E12" s="266">
        <v>898</v>
      </c>
      <c r="F12" s="266">
        <v>1433</v>
      </c>
      <c r="G12" s="107">
        <f t="shared" si="2"/>
        <v>-184</v>
      </c>
      <c r="H12" s="233">
        <f t="shared" si="1"/>
        <v>-12.840195394277739</v>
      </c>
    </row>
    <row r="13" spans="1:8" s="207" customFormat="1" ht="24" customHeight="1">
      <c r="A13" s="191" t="s">
        <v>19</v>
      </c>
      <c r="B13" s="108">
        <f>300+150</f>
        <v>450</v>
      </c>
      <c r="C13" s="110">
        <v>467</v>
      </c>
      <c r="D13" s="236">
        <f t="shared" si="0"/>
        <v>103.77777777777777</v>
      </c>
      <c r="E13" s="266">
        <v>253</v>
      </c>
      <c r="F13" s="266">
        <v>419</v>
      </c>
      <c r="G13" s="107">
        <f t="shared" si="2"/>
        <v>48</v>
      </c>
      <c r="H13" s="233">
        <f t="shared" si="1"/>
        <v>11.455847255369928</v>
      </c>
    </row>
    <row r="14" spans="1:8" s="207" customFormat="1" ht="24" customHeight="1">
      <c r="A14" s="191" t="s">
        <v>20</v>
      </c>
      <c r="B14" s="108">
        <f>1137+663+100</f>
        <v>1900</v>
      </c>
      <c r="C14" s="110">
        <v>2894</v>
      </c>
      <c r="D14" s="236">
        <f t="shared" si="0"/>
        <v>152.31578947368422</v>
      </c>
      <c r="E14" s="266">
        <v>1720</v>
      </c>
      <c r="F14" s="266">
        <v>2362</v>
      </c>
      <c r="G14" s="107">
        <f t="shared" si="2"/>
        <v>532</v>
      </c>
      <c r="H14" s="233">
        <f t="shared" si="1"/>
        <v>22.52328535139712</v>
      </c>
    </row>
    <row r="15" spans="1:8" s="207" customFormat="1" ht="24" customHeight="1">
      <c r="A15" s="191" t="s">
        <v>21</v>
      </c>
      <c r="B15" s="108">
        <v>900</v>
      </c>
      <c r="C15" s="110">
        <v>-46</v>
      </c>
      <c r="D15" s="236">
        <f t="shared" si="0"/>
        <v>-5.111111111111111</v>
      </c>
      <c r="E15" s="266">
        <v>539</v>
      </c>
      <c r="F15" s="266">
        <v>581</v>
      </c>
      <c r="G15" s="107">
        <f t="shared" si="2"/>
        <v>-627</v>
      </c>
      <c r="H15" s="233">
        <f t="shared" si="1"/>
        <v>-107.91738382099828</v>
      </c>
    </row>
    <row r="16" spans="1:8" s="207" customFormat="1" ht="24" customHeight="1">
      <c r="A16" s="191" t="s">
        <v>22</v>
      </c>
      <c r="B16" s="108">
        <v>1100</v>
      </c>
      <c r="C16" s="23">
        <v>1256</v>
      </c>
      <c r="D16" s="236">
        <f t="shared" si="0"/>
        <v>114.18181818181819</v>
      </c>
      <c r="E16" s="266">
        <v>971</v>
      </c>
      <c r="F16" s="266">
        <v>1112</v>
      </c>
      <c r="G16" s="107">
        <f t="shared" si="2"/>
        <v>144</v>
      </c>
      <c r="H16" s="233">
        <f t="shared" si="1"/>
        <v>12.949640287769784</v>
      </c>
    </row>
    <row r="17" spans="1:8" s="207" customFormat="1" ht="24" customHeight="1">
      <c r="A17" s="191" t="s">
        <v>23</v>
      </c>
      <c r="B17" s="108">
        <v>680</v>
      </c>
      <c r="C17" s="110">
        <v>903</v>
      </c>
      <c r="D17" s="236">
        <f aca="true" t="shared" si="3" ref="D17:D29">IF(B17=0,0,100*C17/B17)</f>
        <v>132.7941176470588</v>
      </c>
      <c r="E17" s="265">
        <v>961</v>
      </c>
      <c r="F17" s="265">
        <v>653</v>
      </c>
      <c r="G17" s="107">
        <f aca="true" t="shared" si="4" ref="G17:G29">C17-F17</f>
        <v>250</v>
      </c>
      <c r="H17" s="233">
        <f aca="true" t="shared" si="5" ref="H17:H29">IF(F17=0,0,100*G17/F17)</f>
        <v>38.28483920367535</v>
      </c>
    </row>
    <row r="18" spans="1:8" s="207" customFormat="1" ht="24" customHeight="1">
      <c r="A18" s="191" t="s">
        <v>24</v>
      </c>
      <c r="B18" s="108">
        <v>41</v>
      </c>
      <c r="C18" s="23">
        <v>20</v>
      </c>
      <c r="D18" s="236">
        <f t="shared" si="3"/>
        <v>48.78048780487805</v>
      </c>
      <c r="E18" s="265">
        <v>48</v>
      </c>
      <c r="F18" s="265">
        <v>35</v>
      </c>
      <c r="G18" s="107">
        <f t="shared" si="4"/>
        <v>-15</v>
      </c>
      <c r="H18" s="233">
        <f t="shared" si="5"/>
        <v>-42.857142857142854</v>
      </c>
    </row>
    <row r="19" spans="1:8" s="208" customFormat="1" ht="24" customHeight="1">
      <c r="A19" s="267" t="s">
        <v>25</v>
      </c>
      <c r="B19" s="112">
        <f aca="true" t="shared" si="6" ref="B19:F19">SUM(B20:B26)</f>
        <v>15041</v>
      </c>
      <c r="C19" s="112">
        <f t="shared" si="6"/>
        <v>13400</v>
      </c>
      <c r="D19" s="242">
        <f t="shared" si="3"/>
        <v>89.08982115550828</v>
      </c>
      <c r="E19" s="268">
        <f t="shared" si="6"/>
        <v>9605</v>
      </c>
      <c r="F19" s="268">
        <f t="shared" si="6"/>
        <v>12265</v>
      </c>
      <c r="G19" s="269">
        <f t="shared" si="4"/>
        <v>1135</v>
      </c>
      <c r="H19" s="240">
        <f t="shared" si="5"/>
        <v>9.253974724826742</v>
      </c>
    </row>
    <row r="20" spans="1:8" s="207" customFormat="1" ht="24" customHeight="1">
      <c r="A20" s="191" t="s">
        <v>26</v>
      </c>
      <c r="B20" s="108">
        <v>1550</v>
      </c>
      <c r="C20" s="108">
        <v>1726</v>
      </c>
      <c r="D20" s="236">
        <f t="shared" si="3"/>
        <v>111.35483870967742</v>
      </c>
      <c r="E20" s="265">
        <v>1118</v>
      </c>
      <c r="F20" s="265">
        <v>1494</v>
      </c>
      <c r="G20" s="107">
        <f t="shared" si="4"/>
        <v>232</v>
      </c>
      <c r="H20" s="233">
        <f t="shared" si="5"/>
        <v>15.528781793842034</v>
      </c>
    </row>
    <row r="21" spans="1:8" s="207" customFormat="1" ht="24" customHeight="1">
      <c r="A21" s="191" t="s">
        <v>27</v>
      </c>
      <c r="B21" s="108">
        <v>1500</v>
      </c>
      <c r="C21" s="108">
        <v>1365</v>
      </c>
      <c r="D21" s="236">
        <f t="shared" si="3"/>
        <v>91</v>
      </c>
      <c r="E21" s="265">
        <v>1151</v>
      </c>
      <c r="F21" s="265">
        <v>2047</v>
      </c>
      <c r="G21" s="107">
        <f t="shared" si="4"/>
        <v>-682</v>
      </c>
      <c r="H21" s="233">
        <f t="shared" si="5"/>
        <v>-33.31704934049829</v>
      </c>
    </row>
    <row r="22" spans="1:8" s="207" customFormat="1" ht="24" customHeight="1">
      <c r="A22" s="191" t="s">
        <v>28</v>
      </c>
      <c r="B22" s="108">
        <f>1350+2000</f>
        <v>3350</v>
      </c>
      <c r="C22" s="108">
        <v>3160</v>
      </c>
      <c r="D22" s="236">
        <f t="shared" si="3"/>
        <v>94.32835820895522</v>
      </c>
      <c r="E22" s="266">
        <v>1872</v>
      </c>
      <c r="F22" s="266">
        <v>1598</v>
      </c>
      <c r="G22" s="107">
        <f t="shared" si="4"/>
        <v>1562</v>
      </c>
      <c r="H22" s="233">
        <f t="shared" si="5"/>
        <v>97.74718397997496</v>
      </c>
    </row>
    <row r="23" spans="1:8" s="207" customFormat="1" ht="24" customHeight="1">
      <c r="A23" s="191" t="s">
        <v>29</v>
      </c>
      <c r="B23" s="108">
        <f>7620+260</f>
        <v>7880</v>
      </c>
      <c r="C23" s="108">
        <v>6828</v>
      </c>
      <c r="D23" s="236">
        <f t="shared" si="3"/>
        <v>86.6497461928934</v>
      </c>
      <c r="E23" s="266">
        <f>5015</f>
        <v>5015</v>
      </c>
      <c r="F23" s="266">
        <v>6552</v>
      </c>
      <c r="G23" s="107">
        <f t="shared" si="4"/>
        <v>276</v>
      </c>
      <c r="H23" s="233">
        <f t="shared" si="5"/>
        <v>4.212454212454213</v>
      </c>
    </row>
    <row r="24" spans="1:8" s="207" customFormat="1" ht="24" customHeight="1">
      <c r="A24" s="191" t="s">
        <v>30</v>
      </c>
      <c r="B24" s="108">
        <v>261</v>
      </c>
      <c r="C24" s="108">
        <v>301</v>
      </c>
      <c r="D24" s="236">
        <f t="shared" si="3"/>
        <v>115.32567049808429</v>
      </c>
      <c r="E24" s="266">
        <v>194</v>
      </c>
      <c r="F24" s="266">
        <v>282</v>
      </c>
      <c r="G24" s="107">
        <f t="shared" si="4"/>
        <v>19</v>
      </c>
      <c r="H24" s="233">
        <f t="shared" si="5"/>
        <v>6.73758865248227</v>
      </c>
    </row>
    <row r="25" spans="1:8" s="207" customFormat="1" ht="24" customHeight="1">
      <c r="A25" s="191" t="s">
        <v>31</v>
      </c>
      <c r="B25" s="108"/>
      <c r="C25" s="108"/>
      <c r="D25" s="236">
        <f t="shared" si="3"/>
        <v>0</v>
      </c>
      <c r="E25" s="266">
        <v>24</v>
      </c>
      <c r="F25" s="266"/>
      <c r="G25" s="107">
        <f t="shared" si="4"/>
        <v>0</v>
      </c>
      <c r="H25" s="233">
        <f t="shared" si="5"/>
        <v>0</v>
      </c>
    </row>
    <row r="26" spans="1:8" s="207" customFormat="1" ht="24" customHeight="1">
      <c r="A26" s="191" t="s">
        <v>32</v>
      </c>
      <c r="B26" s="108">
        <v>500</v>
      </c>
      <c r="C26" s="108">
        <v>20</v>
      </c>
      <c r="D26" s="236">
        <f t="shared" si="3"/>
        <v>4</v>
      </c>
      <c r="E26" s="266">
        <v>231</v>
      </c>
      <c r="F26" s="266">
        <v>292</v>
      </c>
      <c r="G26" s="107">
        <f t="shared" si="4"/>
        <v>-272</v>
      </c>
      <c r="H26" s="233">
        <f t="shared" si="5"/>
        <v>-93.15068493150685</v>
      </c>
    </row>
    <row r="27" spans="1:8" s="208" customFormat="1" ht="24" customHeight="1">
      <c r="A27" s="267" t="s">
        <v>33</v>
      </c>
      <c r="B27" s="112">
        <f>B6+B19</f>
        <v>27380</v>
      </c>
      <c r="C27" s="112">
        <f>C6+C19</f>
        <v>28105</v>
      </c>
      <c r="D27" s="242">
        <f t="shared" si="3"/>
        <v>102.64791818845873</v>
      </c>
      <c r="E27" s="268">
        <f>E19+E6</f>
        <v>18820</v>
      </c>
      <c r="F27" s="268">
        <f>F19+F6</f>
        <v>23055</v>
      </c>
      <c r="G27" s="269">
        <f t="shared" si="4"/>
        <v>5050</v>
      </c>
      <c r="H27" s="240">
        <f t="shared" si="5"/>
        <v>21.904142268488396</v>
      </c>
    </row>
    <row r="30" ht="14.25">
      <c r="F30" s="270"/>
    </row>
    <row r="31" ht="14.25">
      <c r="F31" s="270"/>
    </row>
  </sheetData>
  <sheetProtection/>
  <mergeCells count="7">
    <mergeCell ref="A2:H2"/>
    <mergeCell ref="G3:H3"/>
    <mergeCell ref="E4:H4"/>
    <mergeCell ref="A4:A5"/>
    <mergeCell ref="B4:B5"/>
    <mergeCell ref="C4:C5"/>
    <mergeCell ref="D4:D5"/>
  </mergeCells>
  <printOptions/>
  <pageMargins left="1.1805555555555556" right="0.5902777777777778" top="1.0625" bottom="0.6298611111111111" header="0.39305555555555555" footer="0.3145833333333333"/>
  <pageSetup firstPageNumber="18" useFirstPageNumber="1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Zeros="0" view="pageBreakPreview" zoomScaleSheetLayoutView="100" workbookViewId="0" topLeftCell="A1">
      <selection activeCell="E20" sqref="E20"/>
    </sheetView>
  </sheetViews>
  <sheetFormatPr defaultColWidth="9.00390625" defaultRowHeight="14.25"/>
  <cols>
    <col min="1" max="1" width="30.50390625" style="209" customWidth="1"/>
    <col min="2" max="2" width="7.625" style="210" customWidth="1"/>
    <col min="3" max="3" width="7.25390625" style="210" customWidth="1"/>
    <col min="4" max="4" width="9.50390625" style="211" customWidth="1"/>
    <col min="5" max="5" width="9.75390625" style="211" customWidth="1"/>
    <col min="6" max="7" width="8.75390625" style="211" customWidth="1"/>
    <col min="8" max="240" width="9.00390625" style="203" customWidth="1"/>
    <col min="241" max="16384" width="9.00390625" style="212" customWidth="1"/>
  </cols>
  <sheetData>
    <row r="1" spans="1:7" s="203" customFormat="1" ht="37.5" customHeight="1">
      <c r="A1" s="213" t="s">
        <v>34</v>
      </c>
      <c r="B1" s="210"/>
      <c r="C1" s="210"/>
      <c r="D1" s="211"/>
      <c r="E1" s="211"/>
      <c r="F1" s="211"/>
      <c r="G1" s="211"/>
    </row>
    <row r="2" spans="1:7" s="204" customFormat="1" ht="48" customHeight="1">
      <c r="A2" s="214" t="s">
        <v>35</v>
      </c>
      <c r="B2" s="214"/>
      <c r="C2" s="214"/>
      <c r="D2" s="214"/>
      <c r="E2" s="214"/>
      <c r="F2" s="214"/>
      <c r="G2" s="214"/>
    </row>
    <row r="3" spans="1:7" s="205" customFormat="1" ht="15.75">
      <c r="A3" s="215"/>
      <c r="B3" s="216"/>
      <c r="C3" s="216"/>
      <c r="D3" s="217"/>
      <c r="E3" s="217"/>
      <c r="F3" s="218" t="s">
        <v>2</v>
      </c>
      <c r="G3" s="218"/>
    </row>
    <row r="4" spans="1:7" s="206" customFormat="1" ht="18.75" customHeight="1">
      <c r="A4" s="219" t="s">
        <v>3</v>
      </c>
      <c r="B4" s="220" t="s">
        <v>36</v>
      </c>
      <c r="C4" s="221" t="s">
        <v>5</v>
      </c>
      <c r="D4" s="222" t="s">
        <v>6</v>
      </c>
      <c r="E4" s="223" t="s">
        <v>37</v>
      </c>
      <c r="F4" s="223"/>
      <c r="G4" s="224"/>
    </row>
    <row r="5" spans="1:7" s="206" customFormat="1" ht="30" customHeight="1">
      <c r="A5" s="225"/>
      <c r="B5" s="226"/>
      <c r="C5" s="227"/>
      <c r="D5" s="228"/>
      <c r="E5" s="229" t="s">
        <v>38</v>
      </c>
      <c r="F5" s="230" t="s">
        <v>10</v>
      </c>
      <c r="G5" s="230" t="s">
        <v>11</v>
      </c>
    </row>
    <row r="6" spans="1:7" s="207" customFormat="1" ht="25.5" customHeight="1">
      <c r="A6" s="231" t="s">
        <v>39</v>
      </c>
      <c r="B6" s="232">
        <f>29255-67-10000</f>
        <v>19188</v>
      </c>
      <c r="C6" s="232">
        <v>19186</v>
      </c>
      <c r="D6" s="233">
        <f aca="true" t="shared" si="0" ref="D6:D29">IF(B6=0,0,100*C6/B6)</f>
        <v>99.98957681884511</v>
      </c>
      <c r="E6" s="234">
        <v>18183</v>
      </c>
      <c r="F6" s="235">
        <f aca="true" t="shared" si="1" ref="F6:F28">C6-E6</f>
        <v>1003</v>
      </c>
      <c r="G6" s="236">
        <f aca="true" t="shared" si="2" ref="G6:G28">IF(E6=0,0,100*F6/E6)</f>
        <v>5.516141450805698</v>
      </c>
    </row>
    <row r="7" spans="1:7" s="207" customFormat="1" ht="25.5" customHeight="1">
      <c r="A7" s="231" t="s">
        <v>40</v>
      </c>
      <c r="B7" s="232">
        <v>144</v>
      </c>
      <c r="C7" s="232">
        <v>98</v>
      </c>
      <c r="D7" s="233">
        <f t="shared" si="0"/>
        <v>68.05555555555556</v>
      </c>
      <c r="E7" s="234">
        <v>7</v>
      </c>
      <c r="F7" s="235">
        <f t="shared" si="1"/>
        <v>91</v>
      </c>
      <c r="G7" s="236">
        <f t="shared" si="2"/>
        <v>1300</v>
      </c>
    </row>
    <row r="8" spans="1:7" s="207" customFormat="1" ht="25.5" customHeight="1">
      <c r="A8" s="231" t="s">
        <v>41</v>
      </c>
      <c r="B8" s="232">
        <v>8203</v>
      </c>
      <c r="C8" s="232">
        <v>7322</v>
      </c>
      <c r="D8" s="233">
        <f t="shared" si="0"/>
        <v>89.2600268194563</v>
      </c>
      <c r="E8" s="234">
        <v>6384</v>
      </c>
      <c r="F8" s="235">
        <f t="shared" si="1"/>
        <v>938</v>
      </c>
      <c r="G8" s="236">
        <f t="shared" si="2"/>
        <v>14.692982456140351</v>
      </c>
    </row>
    <row r="9" spans="1:7" s="207" customFormat="1" ht="25.5" customHeight="1">
      <c r="A9" s="231" t="s">
        <v>42</v>
      </c>
      <c r="B9" s="232">
        <f>35229-700</f>
        <v>34529</v>
      </c>
      <c r="C9" s="232">
        <v>32021</v>
      </c>
      <c r="D9" s="233">
        <f t="shared" si="0"/>
        <v>92.73654029945843</v>
      </c>
      <c r="E9" s="234">
        <v>30981</v>
      </c>
      <c r="F9" s="235">
        <f t="shared" si="1"/>
        <v>1040</v>
      </c>
      <c r="G9" s="236">
        <f t="shared" si="2"/>
        <v>3.356896162163907</v>
      </c>
    </row>
    <row r="10" spans="1:7" s="207" customFormat="1" ht="25.5" customHeight="1">
      <c r="A10" s="231" t="s">
        <v>43</v>
      </c>
      <c r="B10" s="232">
        <f>4717-423-200+3</f>
        <v>4097</v>
      </c>
      <c r="C10" s="232">
        <v>4031</v>
      </c>
      <c r="D10" s="233">
        <f t="shared" si="0"/>
        <v>98.38906516963632</v>
      </c>
      <c r="E10" s="234">
        <v>3134</v>
      </c>
      <c r="F10" s="235">
        <f t="shared" si="1"/>
        <v>897</v>
      </c>
      <c r="G10" s="236">
        <f t="shared" si="2"/>
        <v>28.621569878749202</v>
      </c>
    </row>
    <row r="11" spans="1:7" s="207" customFormat="1" ht="25.5" customHeight="1">
      <c r="A11" s="231" t="s">
        <v>44</v>
      </c>
      <c r="B11" s="232">
        <v>4277</v>
      </c>
      <c r="C11" s="232">
        <v>2927</v>
      </c>
      <c r="D11" s="233">
        <f t="shared" si="0"/>
        <v>68.43581949964928</v>
      </c>
      <c r="E11" s="234">
        <v>3465</v>
      </c>
      <c r="F11" s="235">
        <f t="shared" si="1"/>
        <v>-538</v>
      </c>
      <c r="G11" s="236">
        <f t="shared" si="2"/>
        <v>-15.526695526695526</v>
      </c>
    </row>
    <row r="12" spans="1:7" s="207" customFormat="1" ht="25.5" customHeight="1">
      <c r="A12" s="231" t="s">
        <v>45</v>
      </c>
      <c r="B12" s="232">
        <v>33410</v>
      </c>
      <c r="C12" s="232">
        <v>30312</v>
      </c>
      <c r="D12" s="233">
        <f t="shared" si="0"/>
        <v>90.72732714756062</v>
      </c>
      <c r="E12" s="234">
        <v>24991</v>
      </c>
      <c r="F12" s="235">
        <f t="shared" si="1"/>
        <v>5321</v>
      </c>
      <c r="G12" s="236">
        <f t="shared" si="2"/>
        <v>21.291664999399785</v>
      </c>
    </row>
    <row r="13" spans="1:7" s="207" customFormat="1" ht="25.5" customHeight="1">
      <c r="A13" s="231" t="s">
        <v>46</v>
      </c>
      <c r="B13" s="232">
        <f>18856-1107</f>
        <v>17749</v>
      </c>
      <c r="C13" s="232">
        <v>15755</v>
      </c>
      <c r="D13" s="233">
        <f t="shared" si="0"/>
        <v>88.76556425714125</v>
      </c>
      <c r="E13" s="234">
        <v>13361</v>
      </c>
      <c r="F13" s="235">
        <f t="shared" si="1"/>
        <v>2394</v>
      </c>
      <c r="G13" s="236">
        <f t="shared" si="2"/>
        <v>17.917820522415987</v>
      </c>
    </row>
    <row r="14" spans="1:7" s="207" customFormat="1" ht="25.5" customHeight="1">
      <c r="A14" s="231" t="s">
        <v>47</v>
      </c>
      <c r="B14" s="232">
        <v>10958</v>
      </c>
      <c r="C14" s="232">
        <v>6567</v>
      </c>
      <c r="D14" s="233">
        <f t="shared" si="0"/>
        <v>59.92881912757802</v>
      </c>
      <c r="E14" s="234">
        <v>5583</v>
      </c>
      <c r="F14" s="235">
        <f t="shared" si="1"/>
        <v>984</v>
      </c>
      <c r="G14" s="236">
        <f t="shared" si="2"/>
        <v>17.624932831810856</v>
      </c>
    </row>
    <row r="15" spans="1:7" s="207" customFormat="1" ht="25.5" customHeight="1">
      <c r="A15" s="231" t="s">
        <v>48</v>
      </c>
      <c r="B15" s="232">
        <f>12775-7372</f>
        <v>5403</v>
      </c>
      <c r="C15" s="232">
        <v>3626</v>
      </c>
      <c r="D15" s="233">
        <f t="shared" si="0"/>
        <v>67.11086433462891</v>
      </c>
      <c r="E15" s="234">
        <v>3929</v>
      </c>
      <c r="F15" s="235">
        <f t="shared" si="1"/>
        <v>-303</v>
      </c>
      <c r="G15" s="236">
        <f t="shared" si="2"/>
        <v>-7.7118859760753375</v>
      </c>
    </row>
    <row r="16" spans="1:7" s="207" customFormat="1" ht="25.5" customHeight="1">
      <c r="A16" s="231" t="s">
        <v>49</v>
      </c>
      <c r="B16" s="232">
        <f>87997-168-3850-5000</f>
        <v>78979</v>
      </c>
      <c r="C16" s="232">
        <v>61072</v>
      </c>
      <c r="D16" s="233">
        <f t="shared" si="0"/>
        <v>77.32688436166576</v>
      </c>
      <c r="E16" s="234">
        <v>54764</v>
      </c>
      <c r="F16" s="235">
        <f t="shared" si="1"/>
        <v>6308</v>
      </c>
      <c r="G16" s="236">
        <f t="shared" si="2"/>
        <v>11.518515813308012</v>
      </c>
    </row>
    <row r="17" spans="1:7" s="207" customFormat="1" ht="25.5" customHeight="1">
      <c r="A17" s="231" t="s">
        <v>50</v>
      </c>
      <c r="B17" s="232">
        <f>20824-14202</f>
        <v>6622</v>
      </c>
      <c r="C17" s="232">
        <v>3890</v>
      </c>
      <c r="D17" s="233">
        <f t="shared" si="0"/>
        <v>58.74358199939595</v>
      </c>
      <c r="E17" s="234">
        <v>9795</v>
      </c>
      <c r="F17" s="235">
        <f t="shared" si="1"/>
        <v>-5905</v>
      </c>
      <c r="G17" s="236">
        <f t="shared" si="2"/>
        <v>-60.28586013272078</v>
      </c>
    </row>
    <row r="18" spans="1:7" s="207" customFormat="1" ht="25.5" customHeight="1">
      <c r="A18" s="231" t="s">
        <v>51</v>
      </c>
      <c r="B18" s="232">
        <v>2063</v>
      </c>
      <c r="C18" s="232">
        <v>1616</v>
      </c>
      <c r="D18" s="233">
        <f t="shared" si="0"/>
        <v>78.33252544837615</v>
      </c>
      <c r="E18" s="234">
        <v>724</v>
      </c>
      <c r="F18" s="235">
        <f t="shared" si="1"/>
        <v>892</v>
      </c>
      <c r="G18" s="236">
        <f t="shared" si="2"/>
        <v>123.20441988950276</v>
      </c>
    </row>
    <row r="19" spans="1:7" s="207" customFormat="1" ht="25.5" customHeight="1">
      <c r="A19" s="231" t="s">
        <v>52</v>
      </c>
      <c r="B19" s="232">
        <v>810</v>
      </c>
      <c r="C19" s="232">
        <v>559</v>
      </c>
      <c r="D19" s="233">
        <f t="shared" si="0"/>
        <v>69.01234567901234</v>
      </c>
      <c r="E19" s="234">
        <v>403</v>
      </c>
      <c r="F19" s="235">
        <f t="shared" si="1"/>
        <v>156</v>
      </c>
      <c r="G19" s="236">
        <f t="shared" si="2"/>
        <v>38.70967741935484</v>
      </c>
    </row>
    <row r="20" spans="1:7" s="207" customFormat="1" ht="25.5" customHeight="1">
      <c r="A20" s="231" t="s">
        <v>53</v>
      </c>
      <c r="B20" s="232"/>
      <c r="C20" s="232"/>
      <c r="D20" s="233"/>
      <c r="E20" s="234"/>
      <c r="F20" s="235">
        <f t="shared" si="1"/>
        <v>0</v>
      </c>
      <c r="G20" s="236">
        <f t="shared" si="2"/>
        <v>0</v>
      </c>
    </row>
    <row r="21" spans="1:7" s="207" customFormat="1" ht="25.5" customHeight="1">
      <c r="A21" s="231" t="s">
        <v>54</v>
      </c>
      <c r="B21" s="232">
        <f>7547-1521</f>
        <v>6026</v>
      </c>
      <c r="C21" s="232">
        <v>6247</v>
      </c>
      <c r="D21" s="233">
        <f aca="true" t="shared" si="3" ref="D21:D28">IF(B21=0,0,100*C21/B21)</f>
        <v>103.667441088616</v>
      </c>
      <c r="E21" s="234">
        <v>1093</v>
      </c>
      <c r="F21" s="235">
        <f t="shared" si="1"/>
        <v>5154</v>
      </c>
      <c r="G21" s="236">
        <f t="shared" si="2"/>
        <v>471.5462031107045</v>
      </c>
    </row>
    <row r="22" spans="1:7" s="207" customFormat="1" ht="25.5" customHeight="1">
      <c r="A22" s="231" t="s">
        <v>55</v>
      </c>
      <c r="B22" s="232">
        <v>10567</v>
      </c>
      <c r="C22" s="232">
        <v>5406</v>
      </c>
      <c r="D22" s="233">
        <f t="shared" si="3"/>
        <v>51.159269423677486</v>
      </c>
      <c r="E22" s="234">
        <v>8006</v>
      </c>
      <c r="F22" s="235">
        <f t="shared" si="1"/>
        <v>-2600</v>
      </c>
      <c r="G22" s="236">
        <f t="shared" si="2"/>
        <v>-32.47564326754934</v>
      </c>
    </row>
    <row r="23" spans="1:7" s="207" customFormat="1" ht="25.5" customHeight="1">
      <c r="A23" s="231" t="s">
        <v>56</v>
      </c>
      <c r="B23" s="232">
        <v>471</v>
      </c>
      <c r="C23" s="232">
        <v>270</v>
      </c>
      <c r="D23" s="233">
        <f t="shared" si="3"/>
        <v>57.32484076433121</v>
      </c>
      <c r="E23" s="234">
        <v>1277</v>
      </c>
      <c r="F23" s="235">
        <f t="shared" si="1"/>
        <v>-1007</v>
      </c>
      <c r="G23" s="236">
        <f t="shared" si="2"/>
        <v>-78.85669537979639</v>
      </c>
    </row>
    <row r="24" spans="1:7" s="207" customFormat="1" ht="25.5" customHeight="1">
      <c r="A24" s="231" t="s">
        <v>57</v>
      </c>
      <c r="B24" s="232">
        <v>6167</v>
      </c>
      <c r="C24" s="232">
        <v>5963</v>
      </c>
      <c r="D24" s="233">
        <f t="shared" si="3"/>
        <v>96.69207069888114</v>
      </c>
      <c r="E24" s="234">
        <v>2358</v>
      </c>
      <c r="F24" s="235">
        <f t="shared" si="1"/>
        <v>3605</v>
      </c>
      <c r="G24" s="236">
        <f t="shared" si="2"/>
        <v>152.88379983036472</v>
      </c>
    </row>
    <row r="25" spans="1:7" s="207" customFormat="1" ht="25.5" customHeight="1">
      <c r="A25" s="231" t="s">
        <v>58</v>
      </c>
      <c r="B25" s="232">
        <v>2977</v>
      </c>
      <c r="C25" s="232">
        <v>2977</v>
      </c>
      <c r="D25" s="233">
        <f t="shared" si="3"/>
        <v>100</v>
      </c>
      <c r="E25" s="234">
        <v>3141</v>
      </c>
      <c r="F25" s="235">
        <f t="shared" si="1"/>
        <v>-164</v>
      </c>
      <c r="G25" s="236">
        <f t="shared" si="2"/>
        <v>-5.221267112384591</v>
      </c>
    </row>
    <row r="26" spans="1:7" s="207" customFormat="1" ht="25.5" customHeight="1">
      <c r="A26" s="231" t="s">
        <v>59</v>
      </c>
      <c r="B26" s="232">
        <v>1</v>
      </c>
      <c r="C26" s="232">
        <v>36</v>
      </c>
      <c r="D26" s="233">
        <f t="shared" si="3"/>
        <v>3600</v>
      </c>
      <c r="E26" s="237">
        <v>22</v>
      </c>
      <c r="F26" s="235">
        <f t="shared" si="1"/>
        <v>14</v>
      </c>
      <c r="G26" s="236">
        <f t="shared" si="2"/>
        <v>63.63636363636363</v>
      </c>
    </row>
    <row r="27" spans="1:7" s="207" customFormat="1" ht="25.5" customHeight="1">
      <c r="A27" s="231" t="s">
        <v>60</v>
      </c>
      <c r="B27" s="232">
        <f>1633+3000</f>
        <v>4633</v>
      </c>
      <c r="C27" s="232">
        <v>2730</v>
      </c>
      <c r="D27" s="233">
        <f t="shared" si="3"/>
        <v>58.92510252536154</v>
      </c>
      <c r="E27" s="237">
        <v>3310</v>
      </c>
      <c r="F27" s="235">
        <f t="shared" si="1"/>
        <v>-580</v>
      </c>
      <c r="G27" s="236">
        <f t="shared" si="2"/>
        <v>-17.522658610271904</v>
      </c>
    </row>
    <row r="28" spans="1:7" s="208" customFormat="1" ht="25.5" customHeight="1">
      <c r="A28" s="238" t="s">
        <v>61</v>
      </c>
      <c r="B28" s="239">
        <f>SUM(B6:B27)</f>
        <v>257274</v>
      </c>
      <c r="C28" s="239">
        <f>SUM(C6:C27)</f>
        <v>212611</v>
      </c>
      <c r="D28" s="240">
        <f t="shared" si="3"/>
        <v>82.63990920186261</v>
      </c>
      <c r="E28" s="241">
        <f>SUM(E6:E27)</f>
        <v>194911</v>
      </c>
      <c r="F28" s="239">
        <f t="shared" si="1"/>
        <v>17700</v>
      </c>
      <c r="G28" s="242">
        <f t="shared" si="2"/>
        <v>9.081067769392185</v>
      </c>
    </row>
  </sheetData>
  <sheetProtection/>
  <mergeCells count="7">
    <mergeCell ref="A2:G2"/>
    <mergeCell ref="F3:G3"/>
    <mergeCell ref="E4:G4"/>
    <mergeCell ref="A4:A5"/>
    <mergeCell ref="B4:B5"/>
    <mergeCell ref="C4:C5"/>
    <mergeCell ref="D4:D5"/>
  </mergeCells>
  <printOptions/>
  <pageMargins left="1.0625" right="0.5902777777777778" top="0.8659722222222223" bottom="0.6298611111111111" header="0.39305555555555555" footer="0.5118055555555555"/>
  <pageSetup firstPageNumber="20" useFirstPageNumber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workbookViewId="0" topLeftCell="A10">
      <selection activeCell="D27" sqref="D27"/>
    </sheetView>
  </sheetViews>
  <sheetFormatPr defaultColWidth="9.00390625" defaultRowHeight="14.25"/>
  <cols>
    <col min="1" max="1" width="43.25390625" style="180" customWidth="1"/>
    <col min="2" max="2" width="7.875" style="180" customWidth="1"/>
    <col min="3" max="3" width="27.50390625" style="180" customWidth="1"/>
    <col min="4" max="4" width="8.00390625" style="180" customWidth="1"/>
    <col min="5" max="16384" width="9.00390625" style="180" customWidth="1"/>
  </cols>
  <sheetData>
    <row r="1" ht="46.5" customHeight="1">
      <c r="A1" s="1" t="s">
        <v>62</v>
      </c>
    </row>
    <row r="2" spans="1:4" ht="38.25" customHeight="1">
      <c r="A2" s="181" t="s">
        <v>63</v>
      </c>
      <c r="B2" s="181"/>
      <c r="C2" s="181"/>
      <c r="D2" s="181"/>
    </row>
    <row r="3" spans="1:4" ht="18" customHeight="1">
      <c r="A3" s="182"/>
      <c r="B3" s="182"/>
      <c r="C3" s="183" t="s">
        <v>64</v>
      </c>
      <c r="D3" s="183"/>
    </row>
    <row r="4" spans="1:4" s="178" customFormat="1" ht="24.75" customHeight="1">
      <c r="A4" s="184" t="s">
        <v>65</v>
      </c>
      <c r="B4" s="184" t="s">
        <v>66</v>
      </c>
      <c r="C4" s="184" t="s">
        <v>67</v>
      </c>
      <c r="D4" s="184" t="s">
        <v>66</v>
      </c>
    </row>
    <row r="5" spans="1:4" ht="24.75" customHeight="1">
      <c r="A5" s="185" t="s">
        <v>68</v>
      </c>
      <c r="B5" s="186">
        <v>28105</v>
      </c>
      <c r="C5" s="187" t="s">
        <v>69</v>
      </c>
      <c r="D5" s="186">
        <v>212611</v>
      </c>
    </row>
    <row r="6" spans="1:4" s="179" customFormat="1" ht="24.75" customHeight="1">
      <c r="A6" s="188" t="s">
        <v>70</v>
      </c>
      <c r="B6" s="189">
        <f>SUM(B7:B10)</f>
        <v>3964</v>
      </c>
      <c r="C6" s="190" t="s">
        <v>71</v>
      </c>
      <c r="D6" s="189">
        <f>SUM(D7:D10)</f>
        <v>2336</v>
      </c>
    </row>
    <row r="7" spans="1:4" s="179" customFormat="1" ht="24.75" customHeight="1">
      <c r="A7" s="191" t="s">
        <v>72</v>
      </c>
      <c r="B7" s="192">
        <v>740</v>
      </c>
      <c r="C7" s="191" t="s">
        <v>73</v>
      </c>
      <c r="D7" s="192">
        <f>408+65</f>
        <v>473</v>
      </c>
    </row>
    <row r="8" spans="1:4" s="179" customFormat="1" ht="24.75" customHeight="1">
      <c r="A8" s="191" t="s">
        <v>74</v>
      </c>
      <c r="B8" s="192">
        <v>634</v>
      </c>
      <c r="C8" s="191" t="s">
        <v>75</v>
      </c>
      <c r="D8" s="192">
        <v>276</v>
      </c>
    </row>
    <row r="9" spans="1:4" s="179" customFormat="1" ht="24.75" customHeight="1">
      <c r="A9" s="191" t="s">
        <v>76</v>
      </c>
      <c r="B9" s="192">
        <v>98</v>
      </c>
      <c r="C9" s="191" t="s">
        <v>77</v>
      </c>
      <c r="D9" s="192">
        <v>196</v>
      </c>
    </row>
    <row r="10" spans="1:4" s="179" customFormat="1" ht="24.75" customHeight="1">
      <c r="A10" s="191" t="s">
        <v>78</v>
      </c>
      <c r="B10" s="192">
        <v>2492</v>
      </c>
      <c r="C10" s="191" t="s">
        <v>79</v>
      </c>
      <c r="D10" s="192">
        <v>1391</v>
      </c>
    </row>
    <row r="11" spans="1:4" s="179" customFormat="1" ht="24.75" customHeight="1">
      <c r="A11" s="193" t="s">
        <v>80</v>
      </c>
      <c r="B11" s="189">
        <f>SUM(B12:B23)</f>
        <v>157135</v>
      </c>
      <c r="C11" s="191"/>
      <c r="D11" s="194"/>
    </row>
    <row r="12" spans="1:4" s="179" customFormat="1" ht="24.75" customHeight="1">
      <c r="A12" s="191" t="s">
        <v>81</v>
      </c>
      <c r="B12" s="192">
        <v>52438</v>
      </c>
      <c r="C12" s="195"/>
      <c r="D12" s="194"/>
    </row>
    <row r="13" spans="1:4" s="179" customFormat="1" ht="24.75" customHeight="1">
      <c r="A13" s="191" t="s">
        <v>82</v>
      </c>
      <c r="B13" s="192">
        <v>13375</v>
      </c>
      <c r="C13" s="196"/>
      <c r="D13" s="197"/>
    </row>
    <row r="14" spans="1:4" s="179" customFormat="1" ht="24.75" customHeight="1">
      <c r="A14" s="191" t="s">
        <v>83</v>
      </c>
      <c r="B14" s="192">
        <v>351</v>
      </c>
      <c r="C14" s="196"/>
      <c r="D14" s="197"/>
    </row>
    <row r="15" spans="1:4" s="179" customFormat="1" ht="24.75" customHeight="1">
      <c r="A15" s="191" t="s">
        <v>84</v>
      </c>
      <c r="B15" s="192">
        <v>13552</v>
      </c>
      <c r="C15" s="196"/>
      <c r="D15" s="197"/>
    </row>
    <row r="16" spans="1:4" s="179" customFormat="1" ht="24.75" customHeight="1">
      <c r="A16" s="191" t="s">
        <v>85</v>
      </c>
      <c r="B16" s="192">
        <v>6493</v>
      </c>
      <c r="C16" s="190"/>
      <c r="D16" s="189"/>
    </row>
    <row r="17" spans="1:4" s="179" customFormat="1" ht="24.75" customHeight="1">
      <c r="A17" s="191" t="s">
        <v>86</v>
      </c>
      <c r="B17" s="192">
        <v>745</v>
      </c>
      <c r="C17" s="190"/>
      <c r="D17" s="192"/>
    </row>
    <row r="18" spans="1:4" s="179" customFormat="1" ht="24.75" customHeight="1">
      <c r="A18" s="191" t="s">
        <v>87</v>
      </c>
      <c r="B18" s="192">
        <v>47983</v>
      </c>
      <c r="C18" s="190"/>
      <c r="D18" s="192"/>
    </row>
    <row r="19" spans="1:4" s="179" customFormat="1" ht="24.75" customHeight="1">
      <c r="A19" s="191" t="s">
        <v>88</v>
      </c>
      <c r="B19" s="192">
        <v>3000</v>
      </c>
      <c r="C19" s="195"/>
      <c r="D19" s="194"/>
    </row>
    <row r="20" spans="1:4" s="179" customFormat="1" ht="24.75" customHeight="1">
      <c r="A20" s="191" t="s">
        <v>89</v>
      </c>
      <c r="B20" s="192">
        <v>9352</v>
      </c>
      <c r="C20" s="198"/>
      <c r="D20" s="192"/>
    </row>
    <row r="21" spans="1:4" s="179" customFormat="1" ht="24.75" customHeight="1">
      <c r="A21" s="191" t="s">
        <v>90</v>
      </c>
      <c r="B21" s="192">
        <v>9283</v>
      </c>
      <c r="C21" s="196"/>
      <c r="D21" s="197"/>
    </row>
    <row r="22" spans="1:4" s="179" customFormat="1" ht="24.75" customHeight="1">
      <c r="A22" s="191" t="s">
        <v>91</v>
      </c>
      <c r="B22" s="192">
        <v>363</v>
      </c>
      <c r="C22" s="199" t="s">
        <v>92</v>
      </c>
      <c r="D22" s="186">
        <v>380</v>
      </c>
    </row>
    <row r="23" spans="1:5" ht="24.75" customHeight="1">
      <c r="A23" s="191" t="s">
        <v>93</v>
      </c>
      <c r="B23" s="200">
        <v>200</v>
      </c>
      <c r="C23" s="199" t="s">
        <v>94</v>
      </c>
      <c r="D23" s="186">
        <f>23339+340+7200+534</f>
        <v>31413</v>
      </c>
      <c r="E23" s="201"/>
    </row>
    <row r="24" spans="1:4" ht="24.75" customHeight="1">
      <c r="A24" s="199" t="s">
        <v>95</v>
      </c>
      <c r="B24" s="186">
        <f>30366+163</f>
        <v>30529</v>
      </c>
      <c r="C24" s="199" t="s">
        <v>96</v>
      </c>
      <c r="D24" s="186">
        <f>620+105</f>
        <v>725</v>
      </c>
    </row>
    <row r="25" spans="1:4" ht="24.75" customHeight="1">
      <c r="A25" s="199" t="s">
        <v>97</v>
      </c>
      <c r="B25" s="186">
        <v>40340</v>
      </c>
      <c r="C25" s="199" t="s">
        <v>98</v>
      </c>
      <c r="D25" s="186">
        <f>302690-247465</f>
        <v>55225</v>
      </c>
    </row>
    <row r="26" spans="1:4" ht="24.75" customHeight="1">
      <c r="A26" s="199" t="s">
        <v>99</v>
      </c>
      <c r="B26" s="186">
        <f>6314+7200+23339+534</f>
        <v>37387</v>
      </c>
      <c r="C26" s="199" t="s">
        <v>100</v>
      </c>
      <c r="D26" s="186">
        <v>55225</v>
      </c>
    </row>
    <row r="27" spans="1:4" ht="24.75" customHeight="1">
      <c r="A27" s="199" t="s">
        <v>101</v>
      </c>
      <c r="B27" s="186">
        <v>1000</v>
      </c>
      <c r="C27" s="199"/>
      <c r="D27" s="186"/>
    </row>
    <row r="28" spans="1:4" ht="24.75" customHeight="1">
      <c r="A28" s="199" t="s">
        <v>102</v>
      </c>
      <c r="B28" s="186">
        <f>3850+380</f>
        <v>4230</v>
      </c>
      <c r="C28" s="199" t="s">
        <v>103</v>
      </c>
      <c r="D28" s="186">
        <v>0</v>
      </c>
    </row>
    <row r="29" spans="1:4" ht="24.75" customHeight="1">
      <c r="A29" s="202" t="s">
        <v>104</v>
      </c>
      <c r="B29" s="186">
        <f>SUM(B5,B6,B11,B24:B28)</f>
        <v>302690</v>
      </c>
      <c r="C29" s="202" t="s">
        <v>104</v>
      </c>
      <c r="D29" s="186">
        <f>D23+D24+D5+D6+D25+D22</f>
        <v>302690</v>
      </c>
    </row>
    <row r="30" ht="21" customHeight="1"/>
  </sheetData>
  <sheetProtection/>
  <mergeCells count="2">
    <mergeCell ref="A2:D2"/>
    <mergeCell ref="C3:D3"/>
  </mergeCells>
  <printOptions/>
  <pageMargins left="1.0625" right="0.3541666666666667" top="0.9840277777777777" bottom="0.6298611111111111" header="0.4326388888888889" footer="0.275"/>
  <pageSetup firstPageNumber="26" useFirstPageNumber="1"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4">
      <selection activeCell="F6" sqref="F6:F7"/>
    </sheetView>
  </sheetViews>
  <sheetFormatPr defaultColWidth="9.00390625" defaultRowHeight="14.25"/>
  <cols>
    <col min="1" max="1" width="28.875" style="0" customWidth="1"/>
    <col min="2" max="6" width="11.00390625" style="0" customWidth="1"/>
    <col min="7" max="7" width="11.125" style="0" hidden="1" customWidth="1"/>
  </cols>
  <sheetData>
    <row r="1" ht="36" customHeight="1">
      <c r="A1" s="1" t="s">
        <v>105</v>
      </c>
    </row>
    <row r="2" spans="1:6" ht="72" customHeight="1">
      <c r="A2" s="2" t="s">
        <v>106</v>
      </c>
      <c r="B2" s="2"/>
      <c r="C2" s="2"/>
      <c r="D2" s="2"/>
      <c r="E2" s="2"/>
      <c r="F2" s="2"/>
    </row>
    <row r="3" spans="1:6" s="148" customFormat="1" ht="28.5" customHeight="1">
      <c r="A3" s="151"/>
      <c r="B3" s="151"/>
      <c r="C3" s="151"/>
      <c r="D3" s="169" t="s">
        <v>2</v>
      </c>
      <c r="E3" s="169"/>
      <c r="F3" s="169"/>
    </row>
    <row r="4" spans="1:7" s="168" customFormat="1" ht="70.5" customHeight="1">
      <c r="A4" s="170" t="s">
        <v>107</v>
      </c>
      <c r="B4" s="170" t="s">
        <v>4</v>
      </c>
      <c r="C4" s="170" t="s">
        <v>108</v>
      </c>
      <c r="D4" s="170" t="s">
        <v>109</v>
      </c>
      <c r="E4" s="170" t="s">
        <v>110</v>
      </c>
      <c r="F4" s="170" t="s">
        <v>111</v>
      </c>
      <c r="G4" s="73" t="s">
        <v>8</v>
      </c>
    </row>
    <row r="5" spans="1:7" s="149" customFormat="1" ht="70.5" customHeight="1">
      <c r="A5" s="171" t="s">
        <v>112</v>
      </c>
      <c r="B5" s="172">
        <f>SUM(B6:B11)</f>
        <v>10500</v>
      </c>
      <c r="C5" s="172">
        <f>SUM(C6:C11)</f>
        <v>8932</v>
      </c>
      <c r="D5" s="173">
        <f aca="true" t="shared" si="0" ref="D5:D10">+C5/B5*100</f>
        <v>85.06666666666666</v>
      </c>
      <c r="E5" s="172">
        <f>SUM(E6:E11)</f>
        <v>6793</v>
      </c>
      <c r="F5" s="173">
        <f aca="true" t="shared" si="1" ref="F5:F10">(C5-E5)/E5*100</f>
        <v>31.488296776093037</v>
      </c>
      <c r="G5" s="149">
        <v>6328</v>
      </c>
    </row>
    <row r="6" spans="1:7" ht="70.5" customHeight="1">
      <c r="A6" s="174" t="s">
        <v>113</v>
      </c>
      <c r="B6" s="175">
        <v>400</v>
      </c>
      <c r="C6" s="175"/>
      <c r="D6" s="176">
        <f t="shared" si="0"/>
        <v>0</v>
      </c>
      <c r="E6" s="175"/>
      <c r="F6" s="176"/>
      <c r="G6" s="177">
        <v>10</v>
      </c>
    </row>
    <row r="7" spans="1:7" ht="70.5" customHeight="1">
      <c r="A7" s="174" t="s">
        <v>114</v>
      </c>
      <c r="B7" s="175"/>
      <c r="C7" s="175">
        <v>173</v>
      </c>
      <c r="D7" s="176"/>
      <c r="E7" s="175"/>
      <c r="F7" s="176"/>
      <c r="G7" s="177"/>
    </row>
    <row r="8" spans="1:7" ht="70.5" customHeight="1">
      <c r="A8" s="174" t="s">
        <v>115</v>
      </c>
      <c r="B8" s="175">
        <f>6630+3000</f>
        <v>9630</v>
      </c>
      <c r="C8" s="175">
        <v>8160</v>
      </c>
      <c r="D8" s="176">
        <f t="shared" si="0"/>
        <v>84.73520249221184</v>
      </c>
      <c r="E8" s="175">
        <v>6699</v>
      </c>
      <c r="F8" s="176">
        <f t="shared" si="1"/>
        <v>21.80922525750112</v>
      </c>
      <c r="G8" s="177">
        <v>346</v>
      </c>
    </row>
    <row r="9" spans="1:7" ht="70.5" customHeight="1">
      <c r="A9" s="174" t="s">
        <v>116</v>
      </c>
      <c r="B9" s="175">
        <v>350</v>
      </c>
      <c r="C9" s="175">
        <v>383</v>
      </c>
      <c r="D9" s="176">
        <f t="shared" si="0"/>
        <v>109.42857142857143</v>
      </c>
      <c r="E9" s="175">
        <v>61</v>
      </c>
      <c r="F9" s="176">
        <f t="shared" si="1"/>
        <v>527.8688524590164</v>
      </c>
      <c r="G9" s="177">
        <v>191</v>
      </c>
    </row>
    <row r="10" spans="1:7" ht="70.5" customHeight="1">
      <c r="A10" s="174" t="s">
        <v>117</v>
      </c>
      <c r="B10" s="175">
        <v>120</v>
      </c>
      <c r="C10" s="175">
        <v>192</v>
      </c>
      <c r="D10" s="176">
        <f t="shared" si="0"/>
        <v>160</v>
      </c>
      <c r="E10" s="175">
        <v>33</v>
      </c>
      <c r="F10" s="176">
        <f t="shared" si="1"/>
        <v>481.8181818181818</v>
      </c>
      <c r="G10" s="177"/>
    </row>
    <row r="11" spans="1:7" ht="70.5" customHeight="1">
      <c r="A11" s="174" t="s">
        <v>118</v>
      </c>
      <c r="B11" s="175"/>
      <c r="C11" s="175">
        <v>24</v>
      </c>
      <c r="D11" s="176"/>
      <c r="E11" s="175"/>
      <c r="F11" s="176"/>
      <c r="G11" s="177">
        <v>4765</v>
      </c>
    </row>
  </sheetData>
  <sheetProtection/>
  <mergeCells count="2">
    <mergeCell ref="A2:F2"/>
    <mergeCell ref="D3:F3"/>
  </mergeCells>
  <printOptions/>
  <pageMargins left="1.1020833333333333" right="0.5902777777777778" top="1.1805555555555556" bottom="0.6298611111111111" header="0.5118055555555555" footer="0.5118055555555555"/>
  <pageSetup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37.25390625" style="0" customWidth="1"/>
    <col min="2" max="2" width="7.875" style="0" customWidth="1"/>
    <col min="3" max="3" width="8.75390625" style="0" customWidth="1"/>
    <col min="4" max="4" width="8.00390625" style="0" customWidth="1"/>
    <col min="5" max="5" width="8.75390625" style="0" customWidth="1"/>
    <col min="6" max="6" width="7.25390625" style="0" customWidth="1"/>
    <col min="7" max="7" width="7.625" style="0" customWidth="1"/>
    <col min="8" max="9" width="9.00390625" style="0" hidden="1" customWidth="1"/>
  </cols>
  <sheetData>
    <row r="1" ht="23.25" customHeight="1">
      <c r="A1" s="1" t="s">
        <v>119</v>
      </c>
    </row>
    <row r="2" spans="1:8" ht="52.5" customHeight="1">
      <c r="A2" s="2" t="s">
        <v>120</v>
      </c>
      <c r="B2" s="2"/>
      <c r="C2" s="2"/>
      <c r="D2" s="2"/>
      <c r="E2" s="2"/>
      <c r="F2" s="2"/>
      <c r="G2" s="2"/>
      <c r="H2" s="150"/>
    </row>
    <row r="3" spans="1:8" s="148" customFormat="1" ht="23.25" customHeight="1">
      <c r="A3" s="151"/>
      <c r="B3" s="151"/>
      <c r="C3" s="151"/>
      <c r="F3" s="152" t="s">
        <v>2</v>
      </c>
      <c r="G3" s="152"/>
      <c r="H3" s="153"/>
    </row>
    <row r="4" spans="1:8" s="149" customFormat="1" ht="36" customHeight="1">
      <c r="A4" s="154" t="s">
        <v>107</v>
      </c>
      <c r="B4" s="154" t="s">
        <v>36</v>
      </c>
      <c r="C4" s="154" t="s">
        <v>5</v>
      </c>
      <c r="D4" s="154" t="s">
        <v>121</v>
      </c>
      <c r="E4" s="155" t="s">
        <v>37</v>
      </c>
      <c r="F4" s="156"/>
      <c r="G4" s="156"/>
      <c r="H4" s="157" t="s">
        <v>8</v>
      </c>
    </row>
    <row r="5" spans="1:8" s="149" customFormat="1" ht="36" customHeight="1">
      <c r="A5" s="158"/>
      <c r="B5" s="158"/>
      <c r="C5" s="158"/>
      <c r="D5" s="158"/>
      <c r="E5" s="159" t="s">
        <v>110</v>
      </c>
      <c r="F5" s="159" t="s">
        <v>10</v>
      </c>
      <c r="G5" s="159" t="s">
        <v>11</v>
      </c>
      <c r="H5" s="157"/>
    </row>
    <row r="6" spans="1:9" s="149" customFormat="1" ht="36" customHeight="1">
      <c r="A6" s="160" t="s">
        <v>122</v>
      </c>
      <c r="B6" s="147">
        <f>SUM(B7:B18)</f>
        <v>57822</v>
      </c>
      <c r="C6" s="137">
        <f>SUM(C7:C18)</f>
        <v>57431</v>
      </c>
      <c r="D6" s="138">
        <f>+C6/B6*100</f>
        <v>99.32378679395386</v>
      </c>
      <c r="E6" s="137">
        <f>SUM(E7:E18)</f>
        <v>54524</v>
      </c>
      <c r="F6" s="137">
        <f>C6-E6</f>
        <v>2907</v>
      </c>
      <c r="G6" s="161">
        <f>F6/E6*100</f>
        <v>5.331597094857311</v>
      </c>
      <c r="H6" s="162">
        <v>8169</v>
      </c>
      <c r="I6" s="149">
        <f>H6-C6</f>
        <v>-49262</v>
      </c>
    </row>
    <row r="7" spans="1:10" ht="36" customHeight="1">
      <c r="A7" s="30" t="s">
        <v>123</v>
      </c>
      <c r="B7" s="125">
        <v>2119</v>
      </c>
      <c r="C7" s="125">
        <f>7242-1692-539+1692+539</f>
        <v>7242</v>
      </c>
      <c r="D7" s="140">
        <f>+C7/B7*100</f>
        <v>341.76498348277494</v>
      </c>
      <c r="E7" s="125">
        <v>2312</v>
      </c>
      <c r="F7" s="125">
        <f>C7-E7</f>
        <v>4930</v>
      </c>
      <c r="G7" s="163">
        <f>F7/E7*100</f>
        <v>213.23529411764704</v>
      </c>
      <c r="H7" s="164">
        <v>5191</v>
      </c>
      <c r="J7">
        <f>B7-C7</f>
        <v>-5123</v>
      </c>
    </row>
    <row r="8" spans="1:8" ht="36" customHeight="1">
      <c r="A8" s="30" t="s">
        <v>124</v>
      </c>
      <c r="B8" s="125">
        <f>173-98</f>
        <v>75</v>
      </c>
      <c r="C8" s="125"/>
      <c r="D8" s="140">
        <f>+C8/B8*100</f>
        <v>0</v>
      </c>
      <c r="E8" s="125"/>
      <c r="F8" s="125"/>
      <c r="G8" s="163"/>
      <c r="H8" s="165"/>
    </row>
    <row r="9" spans="1:10" ht="36" customHeight="1">
      <c r="A9" s="30" t="s">
        <v>125</v>
      </c>
      <c r="B9" s="125">
        <v>395</v>
      </c>
      <c r="C9" s="125">
        <v>111</v>
      </c>
      <c r="D9" s="140">
        <f>+C9/B9*100</f>
        <v>28.10126582278481</v>
      </c>
      <c r="E9" s="125">
        <v>226</v>
      </c>
      <c r="F9" s="125">
        <f>C9-E9</f>
        <v>-115</v>
      </c>
      <c r="G9" s="163">
        <f>F9/E9*100</f>
        <v>-50.88495575221239</v>
      </c>
      <c r="H9" s="165">
        <v>154</v>
      </c>
      <c r="J9">
        <f>B9-C9</f>
        <v>284</v>
      </c>
    </row>
    <row r="10" spans="1:10" ht="36" customHeight="1">
      <c r="A10" s="30" t="s">
        <v>126</v>
      </c>
      <c r="B10" s="125">
        <v>264</v>
      </c>
      <c r="C10" s="125">
        <v>128</v>
      </c>
      <c r="D10" s="140">
        <f>+C10/B10*100</f>
        <v>48.484848484848484</v>
      </c>
      <c r="E10" s="125">
        <v>120</v>
      </c>
      <c r="F10" s="125">
        <f>C10-E10</f>
        <v>8</v>
      </c>
      <c r="G10" s="163">
        <f>F10/E10*100</f>
        <v>6.666666666666667</v>
      </c>
      <c r="H10" s="165">
        <v>726</v>
      </c>
      <c r="J10">
        <f>B10-C10</f>
        <v>136</v>
      </c>
    </row>
    <row r="11" spans="1:10" ht="36" customHeight="1">
      <c r="A11" s="30" t="s">
        <v>127</v>
      </c>
      <c r="B11" s="125">
        <f>18+51+183</f>
        <v>252</v>
      </c>
      <c r="C11" s="125">
        <f>64+153</f>
        <v>217</v>
      </c>
      <c r="D11" s="140"/>
      <c r="E11" s="125">
        <v>70</v>
      </c>
      <c r="F11" s="125">
        <f>C11-E11</f>
        <v>147</v>
      </c>
      <c r="G11" s="163">
        <f>F11/E11*100</f>
        <v>210</v>
      </c>
      <c r="H11" s="165"/>
      <c r="J11">
        <f>B11-C11</f>
        <v>35</v>
      </c>
    </row>
    <row r="12" spans="1:10" ht="36" customHeight="1">
      <c r="A12" s="30" t="s">
        <v>128</v>
      </c>
      <c r="B12" s="125">
        <v>6</v>
      </c>
      <c r="C12" s="125">
        <v>6</v>
      </c>
      <c r="D12" s="140">
        <f>+C12/B12*100</f>
        <v>100</v>
      </c>
      <c r="E12" s="125">
        <v>43</v>
      </c>
      <c r="F12" s="125">
        <f>C12-E12</f>
        <v>-37</v>
      </c>
      <c r="G12" s="163">
        <f>F12/E12*100</f>
        <v>-86.04651162790698</v>
      </c>
      <c r="H12" s="165"/>
      <c r="J12">
        <f>B12-C12</f>
        <v>0</v>
      </c>
    </row>
    <row r="13" spans="1:10" ht="36" customHeight="1">
      <c r="A13" s="166" t="s">
        <v>129</v>
      </c>
      <c r="B13" s="125">
        <v>1492</v>
      </c>
      <c r="C13" s="125">
        <v>908</v>
      </c>
      <c r="D13" s="140">
        <f aca="true" t="shared" si="0" ref="D13:D18">+C13/B13*100</f>
        <v>60.85790884718498</v>
      </c>
      <c r="E13" s="125">
        <v>533</v>
      </c>
      <c r="F13" s="125">
        <f aca="true" t="shared" si="1" ref="F13:F18">C13-E13</f>
        <v>375</v>
      </c>
      <c r="G13" s="163">
        <f>F13/E13*100</f>
        <v>70.35647279549718</v>
      </c>
      <c r="H13" s="164"/>
      <c r="J13">
        <f>B13-C13</f>
        <v>584</v>
      </c>
    </row>
    <row r="14" spans="1:10" ht="36" customHeight="1">
      <c r="A14" s="166" t="s">
        <v>130</v>
      </c>
      <c r="B14" s="125">
        <v>12</v>
      </c>
      <c r="C14" s="125">
        <v>12</v>
      </c>
      <c r="D14" s="140">
        <f t="shared" si="0"/>
        <v>100</v>
      </c>
      <c r="E14" s="125">
        <v>132</v>
      </c>
      <c r="F14" s="125">
        <f t="shared" si="1"/>
        <v>-120</v>
      </c>
      <c r="G14" s="163">
        <f aca="true" t="shared" si="2" ref="G13:G18">F14/E14*100</f>
        <v>-90.9090909090909</v>
      </c>
      <c r="H14" s="164"/>
      <c r="J14">
        <f>B14-C14</f>
        <v>0</v>
      </c>
    </row>
    <row r="15" spans="1:10" ht="36" customHeight="1">
      <c r="A15" s="166" t="s">
        <v>131</v>
      </c>
      <c r="B15" s="145">
        <v>6183</v>
      </c>
      <c r="C15" s="145">
        <v>6183</v>
      </c>
      <c r="D15" s="140">
        <f t="shared" si="0"/>
        <v>100</v>
      </c>
      <c r="E15" s="125">
        <v>4648</v>
      </c>
      <c r="F15" s="125">
        <f t="shared" si="1"/>
        <v>1535</v>
      </c>
      <c r="G15" s="163">
        <f t="shared" si="2"/>
        <v>33.02495697074011</v>
      </c>
      <c r="H15" s="164"/>
      <c r="J15">
        <f>B15-C15</f>
        <v>0</v>
      </c>
    </row>
    <row r="16" spans="1:8" ht="36" customHeight="1">
      <c r="A16" s="166" t="s">
        <v>132</v>
      </c>
      <c r="B16" s="145">
        <v>54</v>
      </c>
      <c r="C16" s="145">
        <v>54</v>
      </c>
      <c r="D16" s="140">
        <f t="shared" si="0"/>
        <v>100</v>
      </c>
      <c r="E16" s="125">
        <v>47</v>
      </c>
      <c r="F16" s="125">
        <f t="shared" si="1"/>
        <v>7</v>
      </c>
      <c r="G16" s="163">
        <f t="shared" si="2"/>
        <v>14.893617021276595</v>
      </c>
      <c r="H16" s="164">
        <v>32</v>
      </c>
    </row>
    <row r="17" spans="1:8" ht="36" customHeight="1">
      <c r="A17" s="30" t="s">
        <v>133</v>
      </c>
      <c r="B17" s="145"/>
      <c r="C17" s="145"/>
      <c r="D17" s="140"/>
      <c r="E17" s="125">
        <v>12400</v>
      </c>
      <c r="F17" s="125">
        <f t="shared" si="1"/>
        <v>-12400</v>
      </c>
      <c r="G17" s="163">
        <f t="shared" si="2"/>
        <v>-100</v>
      </c>
      <c r="H17" s="167"/>
    </row>
    <row r="18" spans="1:7" ht="36" customHeight="1">
      <c r="A18" s="30" t="s">
        <v>134</v>
      </c>
      <c r="B18" s="145">
        <f>42570+4400</f>
        <v>46970</v>
      </c>
      <c r="C18" s="145">
        <v>42570</v>
      </c>
      <c r="D18" s="140">
        <f t="shared" si="0"/>
        <v>90.63231850117096</v>
      </c>
      <c r="E18" s="125">
        <v>33993</v>
      </c>
      <c r="F18" s="125">
        <f t="shared" si="1"/>
        <v>8577</v>
      </c>
      <c r="G18" s="163">
        <f t="shared" si="2"/>
        <v>25.231665342864705</v>
      </c>
    </row>
  </sheetData>
  <sheetProtection/>
  <mergeCells count="7">
    <mergeCell ref="A2:G2"/>
    <mergeCell ref="F3:G3"/>
    <mergeCell ref="E4:G4"/>
    <mergeCell ref="A4:A5"/>
    <mergeCell ref="B4:B5"/>
    <mergeCell ref="C4:C5"/>
    <mergeCell ref="D4:D5"/>
  </mergeCells>
  <printOptions/>
  <pageMargins left="1.023611111111111" right="0.5902777777777778" top="1.1805555555555556" bottom="0.6298611111111111" header="0.39305555555555555" footer="0.5118055555555555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4">
      <selection activeCell="D5" sqref="D5:D8"/>
    </sheetView>
  </sheetViews>
  <sheetFormatPr defaultColWidth="9.125" defaultRowHeight="14.25"/>
  <cols>
    <col min="1" max="1" width="25.875" style="25" customWidth="1"/>
    <col min="2" max="2" width="12.125" style="25" customWidth="1"/>
    <col min="3" max="3" width="28.50390625" style="25" customWidth="1"/>
    <col min="4" max="4" width="12.125" style="25" customWidth="1"/>
    <col min="5" max="16384" width="9.125" style="25" customWidth="1"/>
  </cols>
  <sheetData>
    <row r="1" ht="48" customHeight="1">
      <c r="A1" s="1" t="s">
        <v>135</v>
      </c>
    </row>
    <row r="2" spans="1:6" ht="51" customHeight="1">
      <c r="A2" s="2" t="s">
        <v>136</v>
      </c>
      <c r="B2" s="2"/>
      <c r="C2" s="2"/>
      <c r="D2" s="2"/>
      <c r="E2" s="142"/>
      <c r="F2" s="142"/>
    </row>
    <row r="3" spans="1:4" ht="27" customHeight="1">
      <c r="A3" s="3" t="s">
        <v>2</v>
      </c>
      <c r="B3" s="3"/>
      <c r="C3" s="3"/>
      <c r="D3" s="3"/>
    </row>
    <row r="4" spans="1:4" ht="75.75" customHeight="1">
      <c r="A4" s="143" t="s">
        <v>137</v>
      </c>
      <c r="B4" s="144" t="s">
        <v>5</v>
      </c>
      <c r="C4" s="143" t="s">
        <v>137</v>
      </c>
      <c r="D4" s="144" t="s">
        <v>5</v>
      </c>
    </row>
    <row r="5" spans="1:4" ht="75.75" customHeight="1">
      <c r="A5" s="6" t="s">
        <v>138</v>
      </c>
      <c r="B5" s="145">
        <v>8932</v>
      </c>
      <c r="C5" s="146" t="s">
        <v>139</v>
      </c>
      <c r="D5" s="145">
        <v>57431</v>
      </c>
    </row>
    <row r="6" spans="1:4" ht="75.75" customHeight="1">
      <c r="A6" s="9" t="s">
        <v>140</v>
      </c>
      <c r="B6" s="145">
        <v>2611</v>
      </c>
      <c r="C6" s="10" t="s">
        <v>141</v>
      </c>
      <c r="D6" s="145">
        <v>0</v>
      </c>
    </row>
    <row r="7" spans="1:4" ht="75.75" customHeight="1">
      <c r="A7" s="9" t="s">
        <v>142</v>
      </c>
      <c r="B7" s="145">
        <v>1017</v>
      </c>
      <c r="C7" s="10" t="s">
        <v>143</v>
      </c>
      <c r="D7" s="145"/>
    </row>
    <row r="8" spans="1:4" ht="75.75" customHeight="1">
      <c r="A8" s="9" t="s">
        <v>144</v>
      </c>
      <c r="B8" s="145">
        <v>292</v>
      </c>
      <c r="C8" s="10" t="s">
        <v>145</v>
      </c>
      <c r="D8" s="145">
        <f>62822-62431</f>
        <v>391</v>
      </c>
    </row>
    <row r="9" spans="1:4" ht="75.75" customHeight="1">
      <c r="A9" s="9" t="s">
        <v>146</v>
      </c>
      <c r="B9" s="145">
        <f>42570+3000+4400</f>
        <v>49970</v>
      </c>
      <c r="C9" s="10" t="s">
        <v>94</v>
      </c>
      <c r="D9" s="145">
        <v>5000</v>
      </c>
    </row>
    <row r="10" spans="1:4" ht="75.75" customHeight="1">
      <c r="A10" s="13" t="s">
        <v>147</v>
      </c>
      <c r="B10" s="147">
        <f>SUM(B5:B9)</f>
        <v>62822</v>
      </c>
      <c r="C10" s="14" t="s">
        <v>148</v>
      </c>
      <c r="D10" s="147">
        <f>SUM(D5:D9)</f>
        <v>62822</v>
      </c>
    </row>
  </sheetData>
  <sheetProtection/>
  <mergeCells count="2">
    <mergeCell ref="A2:D2"/>
    <mergeCell ref="A3:D3"/>
  </mergeCells>
  <printOptions/>
  <pageMargins left="1.2597222222222222" right="0.5902777777777778" top="1.1805555555555556" bottom="0.5902777777777778" header="0.7083333333333334" footer="0.5118055555555555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workbookViewId="0" topLeftCell="A7">
      <selection activeCell="L10" sqref="L10"/>
    </sheetView>
  </sheetViews>
  <sheetFormatPr defaultColWidth="9.00390625" defaultRowHeight="14.25"/>
  <cols>
    <col min="1" max="1" width="26.00390625" style="0" customWidth="1"/>
    <col min="2" max="2" width="9.375" style="126" customWidth="1"/>
    <col min="3" max="3" width="10.375" style="0" customWidth="1"/>
    <col min="4" max="5" width="10.625" style="0" customWidth="1"/>
    <col min="6" max="6" width="8.25390625" style="0" customWidth="1"/>
  </cols>
  <sheetData>
    <row r="1" ht="45" customHeight="1">
      <c r="A1" s="1" t="s">
        <v>149</v>
      </c>
    </row>
    <row r="2" spans="1:6" ht="48.75" customHeight="1">
      <c r="A2" s="127" t="s">
        <v>150</v>
      </c>
      <c r="B2" s="127"/>
      <c r="C2" s="127"/>
      <c r="D2" s="127"/>
      <c r="E2" s="127"/>
      <c r="F2" s="127"/>
    </row>
    <row r="3" spans="1:6" ht="21" customHeight="1">
      <c r="A3" s="128"/>
      <c r="B3" s="129"/>
      <c r="C3" s="130"/>
      <c r="D3" s="130"/>
      <c r="E3" s="131" t="s">
        <v>2</v>
      </c>
      <c r="F3" s="131"/>
    </row>
    <row r="4" spans="1:6" ht="78" customHeight="1">
      <c r="A4" s="132" t="s">
        <v>151</v>
      </c>
      <c r="B4" s="133" t="s">
        <v>152</v>
      </c>
      <c r="C4" s="132" t="s">
        <v>153</v>
      </c>
      <c r="D4" s="134" t="s">
        <v>154</v>
      </c>
      <c r="E4" s="134" t="s">
        <v>38</v>
      </c>
      <c r="F4" s="134" t="s">
        <v>155</v>
      </c>
    </row>
    <row r="5" spans="1:6" ht="70.5" customHeight="1">
      <c r="A5" s="135" t="s">
        <v>156</v>
      </c>
      <c r="B5" s="136">
        <f>SUM(B6:B7)</f>
        <v>19167</v>
      </c>
      <c r="C5" s="137">
        <f>SUM(C6:C7)</f>
        <v>22495</v>
      </c>
      <c r="D5" s="138">
        <f aca="true" t="shared" si="0" ref="D5:D10">C5/B5*100</f>
        <v>117.36317629258622</v>
      </c>
      <c r="E5" s="137">
        <f>SUM(E6:E7)</f>
        <v>17748</v>
      </c>
      <c r="F5" s="138">
        <f aca="true" t="shared" si="1" ref="F5:F10">(C5-E5)/E5*100</f>
        <v>26.746675681766956</v>
      </c>
    </row>
    <row r="6" spans="1:6" ht="70.5" customHeight="1">
      <c r="A6" s="115" t="s">
        <v>157</v>
      </c>
      <c r="B6" s="139">
        <v>6378</v>
      </c>
      <c r="C6" s="125">
        <v>7153</v>
      </c>
      <c r="D6" s="140">
        <f t="shared" si="0"/>
        <v>112.15114455942302</v>
      </c>
      <c r="E6" s="125">
        <v>6297</v>
      </c>
      <c r="F6" s="140">
        <f t="shared" si="1"/>
        <v>13.59377481340321</v>
      </c>
    </row>
    <row r="7" spans="1:6" ht="70.5" customHeight="1">
      <c r="A7" s="115" t="s">
        <v>158</v>
      </c>
      <c r="B7" s="139">
        <v>12789</v>
      </c>
      <c r="C7" s="125">
        <v>15342</v>
      </c>
      <c r="D7" s="140">
        <f t="shared" si="0"/>
        <v>119.96246774571897</v>
      </c>
      <c r="E7" s="125">
        <v>11451</v>
      </c>
      <c r="F7" s="140">
        <f t="shared" si="1"/>
        <v>33.97956510348441</v>
      </c>
    </row>
    <row r="8" spans="1:6" ht="70.5" customHeight="1">
      <c r="A8" s="135" t="s">
        <v>159</v>
      </c>
      <c r="B8" s="141">
        <f>SUM(B9:B10)</f>
        <v>18448</v>
      </c>
      <c r="C8" s="137">
        <f>SUM(C9:C10)</f>
        <v>21831</v>
      </c>
      <c r="D8" s="138">
        <f t="shared" si="0"/>
        <v>118.33803122289679</v>
      </c>
      <c r="E8" s="137">
        <f>SUM(E9:E10)</f>
        <v>17376</v>
      </c>
      <c r="F8" s="138">
        <f t="shared" si="1"/>
        <v>25.638812154696133</v>
      </c>
    </row>
    <row r="9" spans="1:6" ht="70.5" customHeight="1">
      <c r="A9" s="115" t="s">
        <v>160</v>
      </c>
      <c r="B9" s="139">
        <v>5670</v>
      </c>
      <c r="C9" s="125">
        <v>6599</v>
      </c>
      <c r="D9" s="140">
        <f t="shared" si="0"/>
        <v>116.38447971781305</v>
      </c>
      <c r="E9" s="125">
        <v>5674</v>
      </c>
      <c r="F9" s="140">
        <f t="shared" si="1"/>
        <v>16.30243214663377</v>
      </c>
    </row>
    <row r="10" spans="1:6" ht="70.5" customHeight="1">
      <c r="A10" s="115" t="s">
        <v>161</v>
      </c>
      <c r="B10" s="139">
        <v>12778</v>
      </c>
      <c r="C10" s="125">
        <v>15232</v>
      </c>
      <c r="D10" s="140">
        <f t="shared" si="0"/>
        <v>119.20488339333228</v>
      </c>
      <c r="E10" s="125">
        <v>11702</v>
      </c>
      <c r="F10" s="140">
        <f t="shared" si="1"/>
        <v>30.165783626730473</v>
      </c>
    </row>
  </sheetData>
  <sheetProtection/>
  <mergeCells count="2">
    <mergeCell ref="A2:F2"/>
    <mergeCell ref="E3:F3"/>
  </mergeCells>
  <printOptions/>
  <pageMargins left="1.2986111111111112" right="0.7083333333333334" top="1.1805555555555556" bottom="0.5902777777777778" header="0.39305555555555555" footer="0.3145833333333333"/>
  <pageSetup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workbookViewId="0" topLeftCell="A1">
      <selection activeCell="L10" sqref="L10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4" width="11.125" style="0" customWidth="1"/>
    <col min="5" max="5" width="9.625" style="0" customWidth="1"/>
    <col min="6" max="6" width="9.375" style="0" customWidth="1"/>
  </cols>
  <sheetData>
    <row r="1" ht="48" customHeight="1">
      <c r="A1" s="1" t="s">
        <v>162</v>
      </c>
    </row>
    <row r="2" spans="1:6" ht="61.5" customHeight="1">
      <c r="A2" s="118" t="s">
        <v>163</v>
      </c>
      <c r="B2" s="118"/>
      <c r="C2" s="118"/>
      <c r="D2" s="118"/>
      <c r="E2" s="118"/>
      <c r="F2" s="118"/>
    </row>
    <row r="3" spans="1:6" ht="30.75" customHeight="1">
      <c r="A3" s="119"/>
      <c r="B3" s="119"/>
      <c r="C3" s="120"/>
      <c r="D3" s="120"/>
      <c r="E3" s="121" t="s">
        <v>2</v>
      </c>
      <c r="F3" s="121"/>
    </row>
    <row r="4" spans="1:6" ht="112.5" customHeight="1">
      <c r="A4" s="122" t="s">
        <v>151</v>
      </c>
      <c r="B4" s="122" t="s">
        <v>97</v>
      </c>
      <c r="C4" s="123" t="s">
        <v>164</v>
      </c>
      <c r="D4" s="123" t="s">
        <v>165</v>
      </c>
      <c r="E4" s="123" t="s">
        <v>166</v>
      </c>
      <c r="F4" s="123" t="s">
        <v>167</v>
      </c>
    </row>
    <row r="5" spans="1:6" ht="112.5" customHeight="1">
      <c r="A5" s="124" t="s">
        <v>168</v>
      </c>
      <c r="B5" s="117">
        <f aca="true" t="shared" si="0" ref="B5:F5">SUM(B6:B7)</f>
        <v>3911</v>
      </c>
      <c r="C5" s="117">
        <f t="shared" si="0"/>
        <v>22495</v>
      </c>
      <c r="D5" s="117">
        <f t="shared" si="0"/>
        <v>21831</v>
      </c>
      <c r="E5" s="117">
        <f t="shared" si="0"/>
        <v>4575</v>
      </c>
      <c r="F5" s="117">
        <f t="shared" si="0"/>
        <v>664</v>
      </c>
    </row>
    <row r="6" spans="1:6" ht="112.5" customHeight="1">
      <c r="A6" s="115" t="s">
        <v>169</v>
      </c>
      <c r="B6" s="116">
        <v>3010</v>
      </c>
      <c r="C6" s="125">
        <v>7153</v>
      </c>
      <c r="D6" s="125">
        <v>6599</v>
      </c>
      <c r="E6" s="116">
        <f>B6+C6-D6</f>
        <v>3564</v>
      </c>
      <c r="F6" s="116">
        <f>C6-D6</f>
        <v>554</v>
      </c>
    </row>
    <row r="7" spans="1:6" ht="112.5" customHeight="1">
      <c r="A7" s="115" t="s">
        <v>170</v>
      </c>
      <c r="B7" s="116">
        <v>901</v>
      </c>
      <c r="C7" s="125">
        <v>15342</v>
      </c>
      <c r="D7" s="125">
        <v>15232</v>
      </c>
      <c r="E7" s="116">
        <f>B7+C7-D7</f>
        <v>1011</v>
      </c>
      <c r="F7" s="116">
        <f>C7-D7</f>
        <v>110</v>
      </c>
    </row>
  </sheetData>
  <sheetProtection/>
  <mergeCells count="2">
    <mergeCell ref="A2:F2"/>
    <mergeCell ref="E3:F3"/>
  </mergeCells>
  <printOptions/>
  <pageMargins left="1.1805555555555556" right="0.7083333333333334" top="1.1805555555555556" bottom="0.5902777777777778" header="0.3145833333333333" footer="0.314583333333333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顽石</cp:lastModifiedBy>
  <cp:lastPrinted>2020-08-14T07:23:20Z</cp:lastPrinted>
  <dcterms:created xsi:type="dcterms:W3CDTF">2009-07-15T09:12:31Z</dcterms:created>
  <dcterms:modified xsi:type="dcterms:W3CDTF">2024-01-10T15:35:29Z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023D2E00F3884BFDBDA8DE41BA36D6DD</vt:lpwstr>
  </property>
</Properties>
</file>